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Daily plans\"/>
    </mc:Choice>
  </mc:AlternateContent>
  <xr:revisionPtr revIDLastSave="0" documentId="13_ncr:1_{36D34737-590B-40A5-88E4-36CC01A4F66C}" xr6:coauthVersionLast="45" xr6:coauthVersionMax="45" xr10:uidLastSave="{00000000-0000-0000-0000-000000000000}"/>
  <bookViews>
    <workbookView xWindow="-110" yWindow="-110" windowWidth="19420" windowHeight="11020" tabRatio="500" firstSheet="3" activeTab="3" xr2:uid="{00000000-000D-0000-FFFF-FFFF00000000}"/>
  </bookViews>
  <sheets>
    <sheet name="ExperimentalSetup" sheetId="1" r:id="rId1"/>
    <sheet name="Plate Needs" sheetId="5" r:id="rId2"/>
    <sheet name="Inoculum Setup" sheetId="6" r:id="rId3"/>
    <sheet name="Inoculum" sheetId="2" r:id="rId4"/>
    <sheet name="T=2" sheetId="4" r:id="rId5"/>
    <sheet name="T=22" sheetId="8" r:id="rId6"/>
    <sheet name="T=24" sheetId="3" r:id="rId7"/>
    <sheet name="T=26" sheetId="9" r:id="rId8"/>
    <sheet name="22 vs 24 vs 26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9" l="1"/>
  <c r="L11" i="9"/>
  <c r="L10" i="9"/>
  <c r="M10" i="9" s="1"/>
  <c r="L9" i="9"/>
  <c r="M9" i="9" s="1"/>
  <c r="L8" i="9"/>
  <c r="M8" i="9" s="1"/>
  <c r="L7" i="9"/>
  <c r="M7" i="9" s="1"/>
  <c r="L6" i="9"/>
  <c r="M6" i="9" s="1"/>
  <c r="L11" i="3"/>
  <c r="M11" i="3" s="1"/>
  <c r="M10" i="3"/>
  <c r="L10" i="3"/>
  <c r="L9" i="3"/>
  <c r="M9" i="3" s="1"/>
  <c r="L8" i="3"/>
  <c r="M8" i="3" s="1"/>
  <c r="M7" i="3"/>
  <c r="L7" i="3"/>
  <c r="L6" i="3"/>
  <c r="M6" i="3" s="1"/>
  <c r="L11" i="8"/>
  <c r="M11" i="8" s="1"/>
  <c r="M10" i="8"/>
  <c r="L10" i="8"/>
  <c r="M9" i="8"/>
  <c r="L9" i="8"/>
  <c r="L8" i="8"/>
  <c r="M8" i="8" s="1"/>
  <c r="L7" i="8"/>
  <c r="M7" i="8" s="1"/>
  <c r="L6" i="8"/>
  <c r="M6" i="8" s="1"/>
  <c r="L3" i="9" l="1"/>
  <c r="L4" i="9"/>
  <c r="L3" i="3"/>
  <c r="L4" i="8"/>
  <c r="L5" i="8"/>
  <c r="L3" i="8"/>
  <c r="L16" i="9"/>
  <c r="L15" i="9"/>
  <c r="L14" i="9"/>
  <c r="L13" i="9"/>
  <c r="L12" i="9"/>
  <c r="L16" i="3"/>
  <c r="L15" i="3"/>
  <c r="M15" i="3" s="1"/>
  <c r="L14" i="3"/>
  <c r="M14" i="3" s="1"/>
  <c r="L13" i="3"/>
  <c r="M13" i="3" s="1"/>
  <c r="L12" i="3"/>
  <c r="M12" i="3"/>
  <c r="M16" i="3"/>
  <c r="L13" i="8"/>
  <c r="L14" i="8"/>
  <c r="L12" i="8"/>
  <c r="H4" i="2"/>
  <c r="H10" i="2" l="1"/>
  <c r="H17" i="9" l="1"/>
  <c r="I17" i="9" s="1"/>
  <c r="D17" i="9"/>
  <c r="E17" i="9" s="1"/>
  <c r="M16" i="9"/>
  <c r="M15" i="9"/>
  <c r="M14" i="9"/>
  <c r="M13" i="9"/>
  <c r="M12" i="9"/>
  <c r="L5" i="9"/>
  <c r="M5" i="9" s="1"/>
  <c r="M4" i="9"/>
  <c r="M3" i="9"/>
  <c r="Q3" i="9" s="1"/>
  <c r="H17" i="8"/>
  <c r="I17" i="8" s="1"/>
  <c r="D17" i="8"/>
  <c r="E17" i="8" s="1"/>
  <c r="L16" i="8"/>
  <c r="M16" i="8" s="1"/>
  <c r="L15" i="8"/>
  <c r="M15" i="8" s="1"/>
  <c r="M14" i="8"/>
  <c r="M13" i="8"/>
  <c r="M12" i="8"/>
  <c r="M5" i="8"/>
  <c r="M4" i="8"/>
  <c r="M3" i="8"/>
  <c r="Q6" i="9" l="1"/>
  <c r="P6" i="9"/>
  <c r="S6" i="9"/>
  <c r="P5" i="9"/>
  <c r="Q5" i="9"/>
  <c r="P4" i="9"/>
  <c r="Q4" i="9"/>
  <c r="S5" i="9"/>
  <c r="S4" i="9"/>
  <c r="P3" i="9"/>
  <c r="T3" i="9" s="1"/>
  <c r="S4" i="8"/>
  <c r="Q4" i="8"/>
  <c r="P4" i="8"/>
  <c r="Q5" i="8"/>
  <c r="P5" i="8"/>
  <c r="S5" i="8"/>
  <c r="Q6" i="8"/>
  <c r="P6" i="8"/>
  <c r="S6" i="8"/>
  <c r="Q3" i="8"/>
  <c r="P3" i="8"/>
  <c r="T3" i="8" s="1"/>
  <c r="C9" i="5"/>
  <c r="B9" i="5"/>
  <c r="B5" i="5"/>
  <c r="T4" i="8" l="1"/>
  <c r="T5" i="8"/>
  <c r="T6" i="8"/>
  <c r="T6" i="9"/>
  <c r="T4" i="9"/>
  <c r="T5" i="9"/>
  <c r="F14" i="4"/>
  <c r="G14" i="4" s="1"/>
  <c r="H5" i="2" l="1"/>
  <c r="H7" i="2"/>
  <c r="H8" i="2"/>
  <c r="H3" i="2"/>
  <c r="C8" i="5" l="1"/>
  <c r="L5" i="3" l="1"/>
  <c r="L4" i="3" l="1"/>
  <c r="B5" i="6" l="1"/>
  <c r="B4" i="6"/>
  <c r="B3" i="6"/>
  <c r="M3" i="3" l="1"/>
  <c r="C10" i="5" l="1"/>
  <c r="B10" i="5"/>
  <c r="Q8" i="1"/>
  <c r="Q24" i="1"/>
  <c r="Q10" i="1"/>
  <c r="Q18" i="1" s="1"/>
  <c r="Q20" i="1" s="1"/>
  <c r="Q22" i="1" s="1"/>
  <c r="Q4" i="1"/>
  <c r="B11" i="5" l="1"/>
  <c r="P10" i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J3" i="2"/>
  <c r="L3" i="2" s="1"/>
  <c r="C14" i="2" s="1"/>
  <c r="P4" i="1"/>
  <c r="M4" i="3"/>
  <c r="M5" i="3"/>
  <c r="F13" i="4"/>
  <c r="G13" i="4" s="1"/>
  <c r="D17" i="3"/>
  <c r="E17" i="3" s="1"/>
  <c r="F10" i="4"/>
  <c r="G10" i="4" s="1"/>
  <c r="F11" i="4"/>
  <c r="G11" i="4" s="1"/>
  <c r="F12" i="4"/>
  <c r="G12" i="4" s="1"/>
  <c r="F9" i="4"/>
  <c r="G9" i="4" s="1"/>
  <c r="D11" i="2"/>
  <c r="E11" i="2" s="1"/>
  <c r="F11" i="2" s="1"/>
  <c r="H17" i="3"/>
  <c r="I17" i="3" s="1"/>
  <c r="K6" i="4" l="1"/>
  <c r="N5" i="4"/>
  <c r="N6" i="4"/>
  <c r="L6" i="4"/>
  <c r="H12" i="4"/>
  <c r="P18" i="1"/>
  <c r="P20" i="1" s="1"/>
  <c r="P22" i="1" s="1"/>
  <c r="P23" i="1" s="1"/>
  <c r="P24" i="1" s="1"/>
  <c r="N4" i="4"/>
  <c r="K4" i="4"/>
  <c r="I5" i="2"/>
  <c r="K5" i="2" s="1"/>
  <c r="M5" i="2" s="1"/>
  <c r="Q5" i="3"/>
  <c r="P5" i="3"/>
  <c r="J5" i="2"/>
  <c r="L5" i="2" s="1"/>
  <c r="C15" i="2" s="1"/>
  <c r="P4" i="3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L4" i="4"/>
  <c r="K5" i="4"/>
  <c r="L5" i="4"/>
  <c r="P6" i="3"/>
  <c r="Q6" i="3"/>
  <c r="S6" i="3"/>
  <c r="Q3" i="3"/>
  <c r="P3" i="3"/>
  <c r="T3" i="3" s="1"/>
  <c r="S4" i="3"/>
  <c r="S5" i="3"/>
  <c r="H6" i="4"/>
  <c r="H3" i="4"/>
  <c r="K3" i="4"/>
  <c r="O3" i="4" s="1"/>
  <c r="H9" i="4"/>
  <c r="L3" i="4"/>
  <c r="Q4" i="3"/>
  <c r="J9" i="2"/>
  <c r="L9" i="2" s="1"/>
  <c r="C17" i="2" s="1"/>
  <c r="B15" i="2" l="1"/>
  <c r="B17" i="2"/>
  <c r="O6" i="4"/>
  <c r="B16" i="2"/>
  <c r="B14" i="2"/>
  <c r="O5" i="4"/>
  <c r="T4" i="3"/>
  <c r="T6" i="3"/>
  <c r="O4" i="4"/>
  <c r="T5" i="3"/>
</calcChain>
</file>

<file path=xl/sharedStrings.xml><?xml version="1.0" encoding="utf-8"?>
<sst xmlns="http://schemas.openxmlformats.org/spreadsheetml/2006/main" count="366" uniqueCount="116">
  <si>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</si>
  <si>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</si>
  <si>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</si>
  <si>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</si>
  <si>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</si>
  <si>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</si>
  <si>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</si>
  <si>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</si>
  <si>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</si>
  <si>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</si>
  <si>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</si>
  <si>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</si>
  <si>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</si>
  <si>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</si>
  <si>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</si>
  <si>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</si>
  <si>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</si>
  <si>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</si>
  <si>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</si>
  <si>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</si>
  <si>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</si>
  <si>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</si>
  <si>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</si>
  <si>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</si>
  <si>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</si>
  <si>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</si>
  <si>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</si>
  <si>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</si>
  <si>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</si>
  <si>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</si>
  <si>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</si>
  <si>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</si>
  <si>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</si>
  <si>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</si>
  <si>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</si>
  <si>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</si>
  <si>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</si>
  <si>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</si>
  <si>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</si>
  <si>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</si>
  <si>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</si>
  <si>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</si>
  <si>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</si>
  <si>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</si>
  <si>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</si>
  <si>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</si>
  <si>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</si>
  <si>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</si>
  <si>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</si>
  <si>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</si>
  <si>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</si>
  <si>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</si>
  <si>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</si>
  <si>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</si>
  <si>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</si>
  <si>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</si>
  <si>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</si>
  <si>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</si>
  <si>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</si>
  <si>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</si>
  <si>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</si>
  <si>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</si>
  <si>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</si>
  <si>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</si>
  <si>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</si>
  <si>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</si>
  <si>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</si>
  <si>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</si>
  <si>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</si>
  <si>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</si>
  <si>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</si>
  <si>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</si>
  <si>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</si>
  <si>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</si>
  <si>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</si>
  <si>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</si>
  <si>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</si>
  <si>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</si>
  <si>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</si>
  <si>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</si>
  <si>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</si>
  <si>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</si>
  <si>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</si>
  <si>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</si>
  <si>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</si>
  <si>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</si>
  <si>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</si>
  <si>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</si>
  <si>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</si>
  <si>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</si>
  <si>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</si>
  <si>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Undiluted inoculum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</si>
  <si>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</si>
  <si>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</si>
  <si>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</si>
  <si>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</si>
  <si>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</si>
  <si>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</si>
  <si>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</si>
  <si>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</si>
  <si>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T=24</t>
  </si>
  <si>
    <t>Square: 3 wells plated in duplicate x 4 strains; Round: 2 control wells</t>
  </si>
  <si>
    <t>**hemacytometer count *2 * 10,000</t>
  </si>
  <si>
    <t>LVS</t>
  </si>
  <si>
    <t>∆pigR</t>
  </si>
  <si>
    <t>∆pmrA</t>
  </si>
  <si>
    <t>∆rpsU2</t>
  </si>
  <si>
    <t>Timepoint 22 hours</t>
  </si>
  <si>
    <t>Timepoint 26 hours</t>
  </si>
  <si>
    <t>T=22</t>
  </si>
  <si>
    <t>T=26</t>
  </si>
  <si>
    <t>TOTAL of 4 PLATES</t>
  </si>
  <si>
    <t>∆pigR*</t>
  </si>
  <si>
    <t>NC</t>
  </si>
  <si>
    <t>NC = not countable</t>
  </si>
  <si>
    <t>T=2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</si>
</sst>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24748.737341529115</c:v>
                  </c:pt>
                  <c:pt idx="1">
                    <c:v>0</c:v>
                  </c:pt>
                  <c:pt idx="2">
                    <c:v>17677.669529663621</c:v>
                  </c:pt>
                  <c:pt idx="3">
                    <c:v>0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24748.737341529115</c:v>
                  </c:pt>
                  <c:pt idx="1">
                    <c:v>0</c:v>
                  </c:pt>
                  <c:pt idx="2">
                    <c:v>17677.669529663621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72500</c:v>
                </c:pt>
                <c:pt idx="1">
                  <c:v>55000</c:v>
                </c:pt>
                <c:pt idx="2">
                  <c:v>77500</c:v>
                </c:pt>
                <c:pt idx="3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3.0550504633038935</c:v>
                  </c:pt>
                  <c:pt idx="1">
                    <c:v>1.1547005383792517</c:v>
                  </c:pt>
                  <c:pt idx="2">
                    <c:v>4.2426406871192848</c:v>
                  </c:pt>
                  <c:pt idx="3">
                    <c:v>1.4142135623730951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3.0550504633038935</c:v>
                  </c:pt>
                  <c:pt idx="1">
                    <c:v>1.1547005383792517</c:v>
                  </c:pt>
                  <c:pt idx="2">
                    <c:v>4.2426406871192848</c:v>
                  </c:pt>
                  <c:pt idx="3">
                    <c:v>1.4142135623730951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5.333333333333333</c:v>
                </c:pt>
                <c:pt idx="1">
                  <c:v>2.6666666666666665</c:v>
                </c:pt>
                <c:pt idx="2">
                  <c:v>3</c:v>
                </c:pt>
                <c:pt idx="3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'T=22'!$P$2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'T=22'!$Q$3:$Q$6</c:f>
                <c:numCache>
                  <c:formatCode>General</c:formatCode>
                  <c:ptCount val="4"/>
                  <c:pt idx="0">
                    <c:v>11.547005383792516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0</c:v>
                  </c:pt>
                </c:numCache>
              </c:numRef>
            </c:plus>
            <c:minus>
              <c:numRef>
                <c:f>'T=22'!$Q$3:$Q$6</c:f>
                <c:numCache>
                  <c:formatCode>General</c:formatCode>
                  <c:ptCount val="4"/>
                  <c:pt idx="0">
                    <c:v>11.547005383792516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'T=22'!$O$3:$O$6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'T=22'!$P$3:$P$6</c:f>
              <c:numCache>
                <c:formatCode>0.00E+00</c:formatCode>
                <c:ptCount val="4"/>
                <c:pt idx="0">
                  <c:v>863.33333333333337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E-496B-A5F5-E65A6D339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2835.4893757515651</c:v>
                  </c:pt>
                  <c:pt idx="1">
                    <c:v>0</c:v>
                  </c:pt>
                  <c:pt idx="2">
                    <c:v>41.633319989322651</c:v>
                  </c:pt>
                  <c:pt idx="3">
                    <c:v>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2835.4893757515651</c:v>
                  </c:pt>
                  <c:pt idx="1">
                    <c:v>0</c:v>
                  </c:pt>
                  <c:pt idx="2">
                    <c:v>41.633319989322651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4700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'T=26'!$P$2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'T=26'!$Q$3:$Q$6</c:f>
                <c:numCache>
                  <c:formatCode>General</c:formatCode>
                  <c:ptCount val="4"/>
                  <c:pt idx="0">
                    <c:v>6320.8543726303333</c:v>
                  </c:pt>
                  <c:pt idx="1">
                    <c:v>0</c:v>
                  </c:pt>
                  <c:pt idx="2">
                    <c:v>170.97758137642879</c:v>
                  </c:pt>
                  <c:pt idx="3">
                    <c:v>11.547005383792515</c:v>
                  </c:pt>
                </c:numCache>
              </c:numRef>
            </c:plus>
            <c:minus>
              <c:numRef>
                <c:f>'T=26'!$Q$3:$Q$6</c:f>
                <c:numCache>
                  <c:formatCode>General</c:formatCode>
                  <c:ptCount val="4"/>
                  <c:pt idx="0">
                    <c:v>6320.8543726303333</c:v>
                  </c:pt>
                  <c:pt idx="1">
                    <c:v>0</c:v>
                  </c:pt>
                  <c:pt idx="2">
                    <c:v>170.97758137642879</c:v>
                  </c:pt>
                  <c:pt idx="3">
                    <c:v>11.547005383792515</c:v>
                  </c:pt>
                </c:numCache>
              </c:numRef>
            </c:minus>
          </c:errBars>
          <c:cat>
            <c:strRef>
              <c:f>'T=26'!$O$3:$O$6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'T=26'!$P$3:$P$6</c:f>
              <c:numCache>
                <c:formatCode>0.00E+00</c:formatCode>
                <c:ptCount val="4"/>
                <c:pt idx="0">
                  <c:v>6820</c:v>
                </c:pt>
                <c:pt idx="1">
                  <c:v>0</c:v>
                </c:pt>
                <c:pt idx="2">
                  <c:v>113.33333333333333</c:v>
                </c:pt>
                <c:pt idx="3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C-4307-8482-21FE96E5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'22 vs 24 vs 26'!$B$1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'22 vs 24 vs 26'!$C$2:$C$5</c:f>
                <c:numCache>
                  <c:formatCode>General</c:formatCode>
                  <c:ptCount val="4"/>
                  <c:pt idx="0">
                    <c:v>3.0550504633038935</c:v>
                  </c:pt>
                  <c:pt idx="1">
                    <c:v>1.1547005383792517</c:v>
                  </c:pt>
                  <c:pt idx="2">
                    <c:v>4.2426406871192848</c:v>
                  </c:pt>
                  <c:pt idx="3">
                    <c:v>1.4142135623730951</c:v>
                  </c:pt>
                </c:numCache>
              </c:numRef>
            </c:plus>
            <c:minus>
              <c:numRef>
                <c:f>'22 vs 24 vs 26'!$C$2:$C$5</c:f>
                <c:numCache>
                  <c:formatCode>General</c:formatCode>
                  <c:ptCount val="4"/>
                  <c:pt idx="0">
                    <c:v>3.0550504633038935</c:v>
                  </c:pt>
                  <c:pt idx="1">
                    <c:v>1.1547005383792517</c:v>
                  </c:pt>
                  <c:pt idx="2">
                    <c:v>4.2426406871192848</c:v>
                  </c:pt>
                  <c:pt idx="3">
                    <c:v>1.4142135623730951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'22 vs 24 vs 26'!$A$2:$A$5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'22 vs 24 vs 26'!$B$2:$B$5</c:f>
              <c:numCache>
                <c:formatCode>0.00E+00</c:formatCode>
                <c:ptCount val="4"/>
                <c:pt idx="0">
                  <c:v>5.333333333333333</c:v>
                </c:pt>
                <c:pt idx="1">
                  <c:v>2.6666666666666665</c:v>
                </c:pt>
                <c:pt idx="2">
                  <c:v>3</c:v>
                </c:pt>
                <c:pt idx="3" formatCode="General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D-4BEF-A85B-2D3981972CAC}"/>
            </c:ext>
          </c:extLst>
        </c:ser>
        <c:ser>
          <c:idx val="0"/>
          <c:order val="1"/>
          <c:tx>
            <c:strRef>
              <c:f>'22 vs 24 vs 26'!$D$1</c:f>
              <c:strCache>
                <c:ptCount val="1"/>
                <c:pt idx="0">
                  <c:v>T=22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'22 vs 24 vs 26'!$E$2:$E$5</c:f>
                <c:numCache>
                  <c:formatCode>General</c:formatCode>
                  <c:ptCount val="4"/>
                  <c:pt idx="0">
                    <c:v>11.547005383792516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0</c:v>
                  </c:pt>
                </c:numCache>
              </c:numRef>
            </c:plus>
            <c:minus>
              <c:numRef>
                <c:f>'22 vs 24 vs 26'!$E$2:$E$5</c:f>
                <c:numCache>
                  <c:formatCode>General</c:formatCode>
                  <c:ptCount val="4"/>
                  <c:pt idx="0">
                    <c:v>11.547005383792516</c:v>
                  </c:pt>
                  <c:pt idx="1">
                    <c:v>0</c:v>
                  </c:pt>
                  <c:pt idx="2">
                    <c:v>26.457513110645905</c:v>
                  </c:pt>
                  <c:pt idx="3">
                    <c:v>0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'22 vs 24 vs 26'!$A$2:$A$5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'22 vs 24 vs 26'!$D$2:$D$5</c:f>
              <c:numCache>
                <c:formatCode>General</c:formatCode>
                <c:ptCount val="4"/>
                <c:pt idx="0">
                  <c:v>863.33333333333337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2"/>
          <c:tx>
            <c:strRef>
              <c:f>'22 vs 24 vs 26'!$F$1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'22 vs 24 vs 26'!$G$2:$G$5</c:f>
                <c:numCache>
                  <c:formatCode>General</c:formatCode>
                  <c:ptCount val="4"/>
                  <c:pt idx="0">
                    <c:v>2835.4893757515651</c:v>
                  </c:pt>
                  <c:pt idx="1">
                    <c:v>0</c:v>
                  </c:pt>
                  <c:pt idx="2">
                    <c:v>41.633319989322651</c:v>
                  </c:pt>
                  <c:pt idx="3">
                    <c:v>0</c:v>
                  </c:pt>
                </c:numCache>
              </c:numRef>
            </c:plus>
            <c:minus>
              <c:numRef>
                <c:f>'22 vs 24 vs 26'!$G$2:$G$5</c:f>
                <c:numCache>
                  <c:formatCode>General</c:formatCode>
                  <c:ptCount val="4"/>
                  <c:pt idx="0">
                    <c:v>2835.4893757515651</c:v>
                  </c:pt>
                  <c:pt idx="1">
                    <c:v>0</c:v>
                  </c:pt>
                  <c:pt idx="2">
                    <c:v>41.633319989322651</c:v>
                  </c:pt>
                  <c:pt idx="3">
                    <c:v>0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'22 vs 24 vs 26'!$A$2:$A$5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'22 vs 24 vs 26'!$F$2:$F$5</c:f>
              <c:numCache>
                <c:formatCode>General</c:formatCode>
                <c:ptCount val="4"/>
                <c:pt idx="0">
                  <c:v>4700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ser>
          <c:idx val="2"/>
          <c:order val="3"/>
          <c:tx>
            <c:strRef>
              <c:f>'22 vs 24 vs 26'!$H$1</c:f>
              <c:strCache>
                <c:ptCount val="1"/>
                <c:pt idx="0">
                  <c:v>T=26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'22 vs 24 vs 26'!$I$2:$I$5</c:f>
                <c:numCache>
                  <c:formatCode>General</c:formatCode>
                  <c:ptCount val="4"/>
                  <c:pt idx="0">
                    <c:v>6320.8543726303333</c:v>
                  </c:pt>
                  <c:pt idx="1">
                    <c:v>0</c:v>
                  </c:pt>
                  <c:pt idx="2">
                    <c:v>170.97758137642879</c:v>
                  </c:pt>
                  <c:pt idx="3">
                    <c:v>11.547005383792515</c:v>
                  </c:pt>
                </c:numCache>
              </c:numRef>
            </c:plus>
            <c:minus>
              <c:numRef>
                <c:f>'22 vs 24 vs 26'!$I$2:$I$5</c:f>
                <c:numCache>
                  <c:formatCode>General</c:formatCode>
                  <c:ptCount val="4"/>
                  <c:pt idx="0">
                    <c:v>6320.8543726303333</c:v>
                  </c:pt>
                  <c:pt idx="1">
                    <c:v>0</c:v>
                  </c:pt>
                  <c:pt idx="2">
                    <c:v>170.97758137642879</c:v>
                  </c:pt>
                  <c:pt idx="3">
                    <c:v>11.547005383792515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'22 vs 24 vs 26'!$A$2:$A$5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∆rpsU2</c:v>
                </c:pt>
                <c:pt idx="3">
                  <c:v>∆pigR</c:v>
                </c:pt>
              </c:strCache>
            </c:strRef>
          </c:cat>
          <c:val>
            <c:numRef>
              <c:f>'22 vs 24 vs 26'!$H$2:$H$5</c:f>
              <c:numCache>
                <c:formatCode>General</c:formatCode>
                <c:ptCount val="4"/>
                <c:pt idx="0" formatCode="0.00E+00">
                  <c:v>6820</c:v>
                </c:pt>
                <c:pt idx="1">
                  <c:v>0</c:v>
                </c:pt>
                <c:pt idx="2">
                  <c:v>113.33333333333333</c:v>
                </c:pt>
                <c:pt idx="3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4-44F4-8953-E474897F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25020652023760187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'22 vs 24 vs 26'!$N$1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'22 vs 24 vs 26'!$M$2:$M$5</c:f>
              <c:numCache>
                <c:formatCode>General</c:formatCode>
                <c:ptCount val="4"/>
              </c:numCache>
            </c:numRef>
          </c:cat>
          <c:val>
            <c:numRef>
              <c:f>'22 vs 24 vs 26'!$N$2:$N$5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CE4-4379-855D-5864969FA46F}"/>
            </c:ext>
          </c:extLst>
        </c:ser>
        <c:ser>
          <c:idx val="0"/>
          <c:order val="1"/>
          <c:tx>
            <c:strRef>
              <c:f>'22 vs 24 vs 26'!$O$1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'22 vs 24 vs 26'!$M$2:$M$5</c:f>
              <c:numCache>
                <c:formatCode>General</c:formatCode>
                <c:ptCount val="4"/>
              </c:numCache>
            </c:numRef>
          </c:cat>
          <c:val>
            <c:numRef>
              <c:f>'22 vs 24 vs 26'!$O$2:$O$5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CE4-4379-855D-5864969F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192399"/>
        <c:axId val="1440134639"/>
      </c:barChart>
      <c:catAx>
        <c:axId val="15511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134639"/>
        <c:crosses val="autoZero"/>
        <c:auto val="1"/>
        <c:lblAlgn val="ctr"/>
        <c:lblOffset val="100"/>
        <c:noMultiLvlLbl val="0"/>
      </c:catAx>
      <c:valAx>
        <c:axId val="14401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r>
                  <a:rPr lang="en-US" baseline="0"/>
                  <a:t> 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19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B8D093-F75A-43D3-84E7-8B8388BCD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EBF65-0EC0-4AB5-B449-4918E0184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6</xdr:row>
      <xdr:rowOff>88900</xdr:rowOff>
    </xdr:from>
    <xdr:to>
      <xdr:col>12</xdr:col>
      <xdr:colOff>431800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361950</xdr:colOff>
      <xdr:row>4</xdr:row>
      <xdr:rowOff>9525</xdr:rowOff>
    </xdr:from>
    <xdr:to>
      <xdr:col>24</xdr:col>
      <xdr:colOff>222250</xdr:colOff>
      <xdr:row>17</xdr:row>
      <xdr:rowOff>193675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9DC36-05B3-4F67-95A3-ECFDB679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J14" zoomScale="125" zoomScaleNormal="125" zoomScalePageLayoutView="125" workbookViewId="0">
      <selection activeCell="P10" sqref="P1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9.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72</v>
      </c>
      <c r="Q1" s="3" t="s">
        <v>73</v>
      </c>
      <c r="R1" s="44" t="s">
        <v>81</v>
      </c>
    </row>
    <row r="2" spans="1:24" x14ac:dyDescent="0.35">
      <c r="A2" s="4" t="s">
        <v>2</v>
      </c>
      <c r="B2" s="9" t="s">
        <v>103</v>
      </c>
      <c r="C2" s="9" t="s">
        <v>103</v>
      </c>
      <c r="D2" s="9" t="s">
        <v>103</v>
      </c>
      <c r="E2" s="6"/>
      <c r="F2" s="42" t="s">
        <v>105</v>
      </c>
      <c r="G2" s="42" t="s">
        <v>105</v>
      </c>
      <c r="H2" s="42" t="s">
        <v>105</v>
      </c>
      <c r="I2" s="5"/>
      <c r="J2" s="6" t="s">
        <v>67</v>
      </c>
      <c r="K2" s="6"/>
      <c r="L2" s="6"/>
      <c r="M2" s="6"/>
      <c r="O2" s="1" t="s">
        <v>92</v>
      </c>
      <c r="P2" s="7">
        <v>20000</v>
      </c>
      <c r="Q2" s="7">
        <v>20000</v>
      </c>
      <c r="R2" t="s">
        <v>95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95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100000</v>
      </c>
      <c r="Q4" s="7">
        <f>Q2/Q3</f>
        <v>100000</v>
      </c>
    </row>
    <row r="5" spans="1:24" x14ac:dyDescent="0.35">
      <c r="A5" s="4" t="s">
        <v>8</v>
      </c>
      <c r="B5" s="42" t="s">
        <v>106</v>
      </c>
      <c r="C5" s="42" t="s">
        <v>106</v>
      </c>
      <c r="D5" s="42" t="s">
        <v>106</v>
      </c>
      <c r="E5" s="42"/>
      <c r="F5" s="42" t="s">
        <v>104</v>
      </c>
      <c r="G5" s="42" t="s">
        <v>104</v>
      </c>
      <c r="H5" s="42" t="s">
        <v>104</v>
      </c>
      <c r="I5" s="9"/>
      <c r="J5" s="6" t="s">
        <v>3</v>
      </c>
      <c r="K5" s="6"/>
      <c r="M5" s="1"/>
      <c r="O5" s="1" t="s">
        <v>9</v>
      </c>
      <c r="P5" s="1">
        <v>14</v>
      </c>
      <c r="Q5" s="1">
        <v>7</v>
      </c>
      <c r="R5" t="s">
        <v>95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5"/>
      <c r="Q6" s="7">
        <v>210000</v>
      </c>
      <c r="R6" t="s">
        <v>102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6">
        <v>14</v>
      </c>
      <c r="Q7" s="28">
        <v>3.5</v>
      </c>
      <c r="R7" s="14" t="s">
        <v>93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6"/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5">
        <v>70000</v>
      </c>
      <c r="Q9" s="7">
        <v>92500</v>
      </c>
      <c r="R9" t="s">
        <v>94</v>
      </c>
    </row>
    <row r="10" spans="1:24" x14ac:dyDescent="0.35">
      <c r="H10" s="14"/>
      <c r="O10" s="1" t="s">
        <v>18</v>
      </c>
      <c r="P10" s="45">
        <f>P9*0.2</f>
        <v>14000</v>
      </c>
      <c r="Q10" s="7">
        <f>Q9*0.2</f>
        <v>18500</v>
      </c>
    </row>
    <row r="15" spans="1:24" x14ac:dyDescent="0.35">
      <c r="C15" s="15"/>
      <c r="O15" t="s">
        <v>98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72</v>
      </c>
      <c r="Q16" s="3" t="s">
        <v>73</v>
      </c>
      <c r="R16" s="44" t="s">
        <v>81</v>
      </c>
    </row>
    <row r="17" spans="1:18" x14ac:dyDescent="0.35">
      <c r="A17" s="4" t="s">
        <v>2</v>
      </c>
      <c r="B17" s="9" t="s">
        <v>103</v>
      </c>
      <c r="C17" s="9" t="s">
        <v>103</v>
      </c>
      <c r="D17" s="9" t="s">
        <v>103</v>
      </c>
      <c r="E17" s="6"/>
      <c r="F17" s="42" t="s">
        <v>105</v>
      </c>
      <c r="G17" s="42" t="s">
        <v>105</v>
      </c>
      <c r="H17" s="42" t="s">
        <v>105</v>
      </c>
      <c r="I17" s="5"/>
      <c r="J17" s="6" t="s">
        <v>67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95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14000</v>
      </c>
      <c r="Q18" s="18">
        <f>Q10</f>
        <v>18500</v>
      </c>
      <c r="R18" t="s">
        <v>96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95</v>
      </c>
    </row>
    <row r="20" spans="1:18" ht="31" x14ac:dyDescent="0.35">
      <c r="A20" s="4" t="s">
        <v>8</v>
      </c>
      <c r="B20" s="42" t="s">
        <v>106</v>
      </c>
      <c r="C20" s="42" t="s">
        <v>106</v>
      </c>
      <c r="D20" s="42" t="s">
        <v>106</v>
      </c>
      <c r="E20" s="42"/>
      <c r="F20" s="42" t="s">
        <v>104</v>
      </c>
      <c r="G20" s="42" t="s">
        <v>104</v>
      </c>
      <c r="H20" s="42" t="s">
        <v>104</v>
      </c>
      <c r="I20" s="9"/>
      <c r="J20" s="6" t="s">
        <v>3</v>
      </c>
      <c r="K20" s="6"/>
      <c r="M20" s="1"/>
      <c r="O20" s="19" t="s">
        <v>24</v>
      </c>
      <c r="P20" s="18">
        <f>(P18*P17/P19)</f>
        <v>1400000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95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2.4096385542168674E-4</v>
      </c>
      <c r="Q22" s="20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7">
        <f>P22*100</f>
        <v>2.4096385542168672E-2</v>
      </c>
      <c r="Q23" s="21">
        <v>0.03</v>
      </c>
      <c r="R23" t="s">
        <v>97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58">
        <f>P23/100</f>
        <v>2.4096385542168674E-4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103</v>
      </c>
      <c r="P26" t="s">
        <v>0</v>
      </c>
    </row>
    <row r="27" spans="1:18" x14ac:dyDescent="0.35">
      <c r="D27" t="s">
        <v>111</v>
      </c>
      <c r="G27" s="10">
        <v>2</v>
      </c>
      <c r="H27" s="42" t="s">
        <v>105</v>
      </c>
    </row>
    <row r="28" spans="1:18" x14ac:dyDescent="0.35">
      <c r="G28" s="10">
        <v>3</v>
      </c>
      <c r="H28" s="42" t="s">
        <v>106</v>
      </c>
    </row>
    <row r="29" spans="1:18" x14ac:dyDescent="0.35">
      <c r="G29" s="10">
        <v>4</v>
      </c>
      <c r="H29" s="42" t="s">
        <v>104</v>
      </c>
      <c r="R29" s="14"/>
    </row>
    <row r="30" spans="1:18" x14ac:dyDescent="0.35">
      <c r="H30" s="43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11"/>
  <sheetViews>
    <sheetView workbookViewId="0">
      <selection activeCell="D16" sqref="D16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72" t="s">
        <v>75</v>
      </c>
      <c r="C1" s="72"/>
    </row>
    <row r="2" spans="1:4" x14ac:dyDescent="0.35">
      <c r="A2" s="22" t="s">
        <v>90</v>
      </c>
      <c r="B2" s="23" t="s">
        <v>77</v>
      </c>
      <c r="C2" s="23" t="s">
        <v>78</v>
      </c>
      <c r="D2" s="22" t="s">
        <v>81</v>
      </c>
    </row>
    <row r="3" spans="1:4" x14ac:dyDescent="0.35">
      <c r="A3" s="1" t="s">
        <v>76</v>
      </c>
      <c r="B3" s="17">
        <v>8</v>
      </c>
      <c r="C3" s="37"/>
      <c r="D3" s="1" t="s">
        <v>82</v>
      </c>
    </row>
    <row r="4" spans="1:4" x14ac:dyDescent="0.35">
      <c r="A4" s="1" t="s">
        <v>79</v>
      </c>
      <c r="B4" s="17">
        <v>0</v>
      </c>
      <c r="C4" s="37">
        <v>8</v>
      </c>
      <c r="D4" s="1" t="s">
        <v>83</v>
      </c>
    </row>
    <row r="5" spans="1:4" x14ac:dyDescent="0.35">
      <c r="A5" s="1" t="s">
        <v>80</v>
      </c>
      <c r="B5" s="17">
        <f>3*4*2+2</f>
        <v>26</v>
      </c>
      <c r="C5" s="37">
        <v>0</v>
      </c>
      <c r="D5" s="1"/>
    </row>
    <row r="6" spans="1:4" x14ac:dyDescent="0.35">
      <c r="A6" s="1" t="s">
        <v>107</v>
      </c>
      <c r="B6" s="17">
        <v>8</v>
      </c>
      <c r="C6" s="37">
        <v>18</v>
      </c>
      <c r="D6" s="1"/>
    </row>
    <row r="7" spans="1:4" x14ac:dyDescent="0.35">
      <c r="A7" s="1" t="s">
        <v>85</v>
      </c>
      <c r="B7" s="17">
        <v>8</v>
      </c>
      <c r="C7" s="37">
        <v>18</v>
      </c>
      <c r="D7" s="1" t="s">
        <v>84</v>
      </c>
    </row>
    <row r="8" spans="1:4" x14ac:dyDescent="0.35">
      <c r="A8" s="1" t="s">
        <v>108</v>
      </c>
      <c r="B8">
        <v>2</v>
      </c>
      <c r="C8" s="17">
        <f>3*4*2</f>
        <v>24</v>
      </c>
      <c r="D8" s="19" t="s">
        <v>101</v>
      </c>
    </row>
    <row r="9" spans="1:4" x14ac:dyDescent="0.35">
      <c r="A9" s="22" t="s">
        <v>86</v>
      </c>
      <c r="B9" s="17">
        <f>SUM(B3:B8)</f>
        <v>52</v>
      </c>
      <c r="C9" s="37">
        <f>SUM(C3:C8)</f>
        <v>68</v>
      </c>
      <c r="D9" s="1"/>
    </row>
    <row r="10" spans="1:4" x14ac:dyDescent="0.35">
      <c r="A10" s="1" t="s">
        <v>87</v>
      </c>
      <c r="B10" s="17">
        <f>B9/25</f>
        <v>2.08</v>
      </c>
      <c r="C10" s="37">
        <f>C9/20</f>
        <v>3.4</v>
      </c>
      <c r="D10" s="1" t="s">
        <v>89</v>
      </c>
    </row>
    <row r="11" spans="1:4" x14ac:dyDescent="0.35">
      <c r="A11" s="22" t="s">
        <v>88</v>
      </c>
      <c r="B11" s="32">
        <f>SUM(B10:C10)</f>
        <v>5.48</v>
      </c>
      <c r="C11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C16" sqref="C16"/>
    </sheetView>
  </sheetViews>
  <sheetFormatPr defaultColWidth="8.83203125" defaultRowHeight="15.5" x14ac:dyDescent="0.35"/>
  <cols>
    <col min="2" max="2" width="13.5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31" x14ac:dyDescent="0.35">
      <c r="A2" s="4" t="s">
        <v>2</v>
      </c>
      <c r="B2" s="9" t="s">
        <v>91</v>
      </c>
      <c r="C2" s="9"/>
      <c r="D2" s="9"/>
      <c r="E2" s="6"/>
      <c r="F2" s="9"/>
      <c r="G2" s="9"/>
      <c r="H2" s="9"/>
      <c r="I2" s="5"/>
      <c r="J2" s="6"/>
      <c r="K2" s="6"/>
      <c r="L2" s="6"/>
      <c r="M2" s="6"/>
    </row>
    <row r="3" spans="1:13" x14ac:dyDescent="0.35">
      <c r="A3" s="4" t="s">
        <v>4</v>
      </c>
      <c r="B3" s="41" t="str">
        <f>"1:10 in PBS"</f>
        <v>1:10 in PBS</v>
      </c>
      <c r="C3" s="39"/>
      <c r="D3" s="40"/>
      <c r="E3" s="40"/>
      <c r="F3" s="9"/>
      <c r="G3" s="9"/>
      <c r="H3" s="9"/>
      <c r="I3" s="9"/>
      <c r="J3" s="9"/>
      <c r="K3" s="9"/>
      <c r="L3" s="10"/>
      <c r="M3" s="1"/>
    </row>
    <row r="4" spans="1:13" x14ac:dyDescent="0.35">
      <c r="A4" s="4" t="s">
        <v>6</v>
      </c>
      <c r="B4" s="41" t="str">
        <f>"1:100 in PBS"</f>
        <v>1:100 in PBS</v>
      </c>
      <c r="C4" s="41"/>
      <c r="D4" s="41"/>
      <c r="E4" s="40"/>
      <c r="F4" s="6"/>
      <c r="G4" s="6"/>
      <c r="H4" s="6"/>
      <c r="I4" s="9"/>
      <c r="J4" s="6"/>
      <c r="K4" s="6"/>
      <c r="L4" s="6"/>
      <c r="M4" s="1"/>
    </row>
    <row r="5" spans="1:13" x14ac:dyDescent="0.35">
      <c r="A5" s="4" t="s">
        <v>8</v>
      </c>
      <c r="B5" s="40" t="str">
        <f>"1:1000 in PBS"</f>
        <v>1:1000 in PBS</v>
      </c>
      <c r="C5" s="40"/>
      <c r="D5" s="40"/>
      <c r="E5" s="40"/>
      <c r="F5" s="6"/>
      <c r="G5" s="6"/>
      <c r="H5" s="6"/>
      <c r="I5" s="9"/>
      <c r="J5" s="6"/>
      <c r="K5" s="6"/>
      <c r="M5" s="1"/>
    </row>
    <row r="6" spans="1:13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tabSelected="1" showRuler="0" workbookViewId="0">
      <selection activeCell="M9" activeCellId="3" sqref="M3 M5 M7 M9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77"/>
      <c r="D1" s="77"/>
      <c r="E1" s="77"/>
      <c r="F1" s="77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99</v>
      </c>
      <c r="M2" s="16" t="s">
        <v>74</v>
      </c>
    </row>
    <row r="3" spans="1:13" x14ac:dyDescent="0.35">
      <c r="A3" s="75" t="s">
        <v>103</v>
      </c>
      <c r="B3" s="27" t="s">
        <v>36</v>
      </c>
      <c r="C3" s="17"/>
      <c r="D3" s="17"/>
      <c r="E3" s="17"/>
      <c r="F3" s="17">
        <v>11</v>
      </c>
      <c r="G3" s="51">
        <v>1E-3</v>
      </c>
      <c r="H3" s="52">
        <f>F3/(G3*0.01)</f>
        <v>1100000</v>
      </c>
      <c r="I3" s="7">
        <f>AVERAGE(H3:H4)</f>
        <v>1450000</v>
      </c>
      <c r="J3" s="7">
        <f>STDEV(H3:H4)</f>
        <v>494974.74683058227</v>
      </c>
      <c r="K3" s="7">
        <f>I3*0.05</f>
        <v>72500</v>
      </c>
      <c r="L3" s="7">
        <f>J3*0.05</f>
        <v>24748.737341529115</v>
      </c>
      <c r="M3" s="49">
        <f>K3/16200</f>
        <v>4.4753086419753085</v>
      </c>
    </row>
    <row r="4" spans="1:13" x14ac:dyDescent="0.35">
      <c r="A4" s="76"/>
      <c r="B4" s="27" t="s">
        <v>38</v>
      </c>
      <c r="C4" s="17"/>
      <c r="D4" s="17"/>
      <c r="E4" s="17"/>
      <c r="F4" s="17">
        <v>18</v>
      </c>
      <c r="G4" s="51">
        <v>1E-3</v>
      </c>
      <c r="H4" s="52">
        <f>F4/(G4*0.01)</f>
        <v>1799999.9999999998</v>
      </c>
      <c r="I4" s="29"/>
      <c r="J4" s="29"/>
      <c r="K4" s="7"/>
      <c r="L4" s="7"/>
      <c r="M4" s="49"/>
    </row>
    <row r="5" spans="1:13" x14ac:dyDescent="0.35">
      <c r="A5" s="73" t="s">
        <v>105</v>
      </c>
      <c r="B5" s="27" t="s">
        <v>39</v>
      </c>
      <c r="C5" s="17"/>
      <c r="D5" s="17"/>
      <c r="E5" s="17"/>
      <c r="F5" s="17">
        <v>11</v>
      </c>
      <c r="G5" s="51">
        <v>1E-3</v>
      </c>
      <c r="H5" s="52">
        <f t="shared" ref="H5:H8" si="0">F5/(G5*0.01)</f>
        <v>1100000</v>
      </c>
      <c r="I5" s="7">
        <f>AVERAGE(H5:H6)</f>
        <v>1100000</v>
      </c>
      <c r="J5" s="7" t="e">
        <f>STDEV(H5:H6)</f>
        <v>#DIV/0!</v>
      </c>
      <c r="K5" s="7">
        <f>I5*0.05</f>
        <v>55000</v>
      </c>
      <c r="L5" s="7" t="e">
        <f>J5*0.05</f>
        <v>#DIV/0!</v>
      </c>
      <c r="M5" s="49">
        <f t="shared" ref="M5:M9" si="1">K5/16200</f>
        <v>3.3950617283950617</v>
      </c>
    </row>
    <row r="6" spans="1:13" x14ac:dyDescent="0.35">
      <c r="A6" s="74"/>
      <c r="B6" s="27" t="s">
        <v>40</v>
      </c>
      <c r="C6" s="17"/>
      <c r="D6" s="17"/>
      <c r="E6" s="17"/>
      <c r="F6" s="17"/>
      <c r="G6" s="51" t="s">
        <v>113</v>
      </c>
      <c r="H6" s="52" t="s">
        <v>113</v>
      </c>
      <c r="I6" s="29"/>
      <c r="J6" s="29"/>
      <c r="K6" s="7"/>
      <c r="L6" s="7"/>
      <c r="M6" s="49"/>
    </row>
    <row r="7" spans="1:13" x14ac:dyDescent="0.35">
      <c r="A7" s="73" t="s">
        <v>106</v>
      </c>
      <c r="B7" s="27" t="s">
        <v>41</v>
      </c>
      <c r="C7" s="17"/>
      <c r="D7" s="17"/>
      <c r="E7" s="17"/>
      <c r="F7" s="17">
        <v>13</v>
      </c>
      <c r="G7" s="51">
        <v>1E-3</v>
      </c>
      <c r="H7" s="52">
        <f t="shared" si="0"/>
        <v>1300000</v>
      </c>
      <c r="I7" s="7">
        <f>AVERAGE(H7:H8)</f>
        <v>1550000</v>
      </c>
      <c r="J7" s="7">
        <f>STDEV(H7:H8)</f>
        <v>353553.3905932724</v>
      </c>
      <c r="K7" s="7">
        <f>I7*0.05</f>
        <v>77500</v>
      </c>
      <c r="L7" s="7">
        <f>J7*0.05</f>
        <v>17677.669529663621</v>
      </c>
      <c r="M7" s="49">
        <f t="shared" si="1"/>
        <v>4.783950617283951</v>
      </c>
    </row>
    <row r="8" spans="1:13" x14ac:dyDescent="0.35">
      <c r="A8" s="74"/>
      <c r="B8" s="27" t="s">
        <v>42</v>
      </c>
      <c r="C8" s="17"/>
      <c r="D8" s="17"/>
      <c r="E8" s="17"/>
      <c r="F8" s="17">
        <v>18</v>
      </c>
      <c r="G8" s="51">
        <v>1E-3</v>
      </c>
      <c r="H8" s="52">
        <f t="shared" si="0"/>
        <v>1799999.9999999998</v>
      </c>
      <c r="I8" s="29"/>
      <c r="J8" s="29"/>
      <c r="K8" s="7"/>
      <c r="L8" s="7"/>
      <c r="M8" s="49"/>
    </row>
    <row r="9" spans="1:13" ht="16" customHeight="1" x14ac:dyDescent="0.35">
      <c r="A9" s="75" t="s">
        <v>104</v>
      </c>
      <c r="B9" s="27" t="s">
        <v>43</v>
      </c>
      <c r="C9" s="17"/>
      <c r="D9" s="17"/>
      <c r="E9" s="17" t="s">
        <v>113</v>
      </c>
      <c r="F9" s="17"/>
      <c r="G9" s="51" t="s">
        <v>113</v>
      </c>
      <c r="H9" s="52" t="s">
        <v>113</v>
      </c>
      <c r="I9" s="7">
        <f>AVERAGE(H9:H10)</f>
        <v>590000</v>
      </c>
      <c r="J9" s="7" t="e">
        <f>STDEV(H9:H10)</f>
        <v>#DIV/0!</v>
      </c>
      <c r="K9" s="7">
        <f>I9*0.05</f>
        <v>29500</v>
      </c>
      <c r="L9" s="7" t="e">
        <f>J9*0.05</f>
        <v>#DIV/0!</v>
      </c>
      <c r="M9" s="49">
        <f t="shared" si="1"/>
        <v>1.8209876543209877</v>
      </c>
    </row>
    <row r="10" spans="1:13" x14ac:dyDescent="0.35">
      <c r="A10" s="76"/>
      <c r="B10" s="27" t="s">
        <v>44</v>
      </c>
      <c r="C10" s="17"/>
      <c r="D10" s="17"/>
      <c r="E10" s="17">
        <v>59</v>
      </c>
      <c r="F10" s="17">
        <v>8</v>
      </c>
      <c r="G10" s="51">
        <v>0.01</v>
      </c>
      <c r="H10" s="52">
        <f>E10/(G10*0.01)</f>
        <v>590000</v>
      </c>
      <c r="I10" s="29"/>
      <c r="J10" s="29"/>
      <c r="K10" s="7"/>
      <c r="L10" s="7"/>
      <c r="M10" s="28"/>
    </row>
    <row r="11" spans="1:13" x14ac:dyDescent="0.35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46</v>
      </c>
      <c r="C13" s="1" t="s">
        <v>34</v>
      </c>
      <c r="L13" s="10">
        <v>1</v>
      </c>
      <c r="M13" s="9" t="s">
        <v>103</v>
      </c>
    </row>
    <row r="14" spans="1:13" x14ac:dyDescent="0.35">
      <c r="A14" s="9" t="s">
        <v>103</v>
      </c>
      <c r="B14" s="7">
        <f>K3</f>
        <v>72500</v>
      </c>
      <c r="C14" s="7">
        <f>L3</f>
        <v>24748.737341529115</v>
      </c>
      <c r="L14" s="10">
        <v>2</v>
      </c>
      <c r="M14" s="42" t="s">
        <v>105</v>
      </c>
    </row>
    <row r="15" spans="1:13" x14ac:dyDescent="0.35">
      <c r="A15" s="42" t="s">
        <v>105</v>
      </c>
      <c r="B15" s="7">
        <f>K5</f>
        <v>55000</v>
      </c>
      <c r="C15" s="7" t="e">
        <f>L5</f>
        <v>#DIV/0!</v>
      </c>
      <c r="L15" s="10">
        <v>3</v>
      </c>
      <c r="M15" s="42" t="s">
        <v>106</v>
      </c>
    </row>
    <row r="16" spans="1:13" x14ac:dyDescent="0.35">
      <c r="A16" s="42" t="s">
        <v>106</v>
      </c>
      <c r="B16" s="7">
        <f>K7</f>
        <v>77500</v>
      </c>
      <c r="C16" s="7">
        <f>L7</f>
        <v>17677.669529663621</v>
      </c>
      <c r="L16" s="10">
        <v>4</v>
      </c>
      <c r="M16" s="42" t="s">
        <v>104</v>
      </c>
    </row>
    <row r="17" spans="1:3" x14ac:dyDescent="0.35">
      <c r="A17" s="42" t="s">
        <v>104</v>
      </c>
      <c r="B17" s="7">
        <f>K9</f>
        <v>29500</v>
      </c>
      <c r="C17" s="7" t="e">
        <f>L9</f>
        <v>#DIV/0!</v>
      </c>
    </row>
    <row r="20" spans="1:3" x14ac:dyDescent="0.35">
      <c r="A20" s="71" t="s">
        <v>114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5"/>
  <sheetViews>
    <sheetView showRuler="0" workbookViewId="0">
      <selection activeCell="K4" sqref="K4:L6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59</v>
      </c>
      <c r="J2" s="1"/>
      <c r="K2" s="26" t="s">
        <v>51</v>
      </c>
      <c r="L2" s="22" t="s">
        <v>52</v>
      </c>
      <c r="M2" s="53" t="s">
        <v>53</v>
      </c>
      <c r="N2" s="34" t="s">
        <v>59</v>
      </c>
      <c r="O2" s="16" t="s">
        <v>60</v>
      </c>
    </row>
    <row r="3" spans="1:25" x14ac:dyDescent="0.35">
      <c r="A3" s="78" t="s">
        <v>103</v>
      </c>
      <c r="B3" s="10" t="s">
        <v>36</v>
      </c>
      <c r="C3" s="57">
        <v>1</v>
      </c>
      <c r="D3" s="57">
        <v>3</v>
      </c>
      <c r="E3" s="17">
        <v>1</v>
      </c>
      <c r="F3" s="29">
        <f t="shared" ref="F3:F14" si="0">AVERAGE(C3,D3)</f>
        <v>2</v>
      </c>
      <c r="G3" s="7">
        <f t="shared" ref="G3:G12" si="1">(F3/(0.05*E3))*0.2</f>
        <v>8</v>
      </c>
      <c r="H3" s="80">
        <f>TTEST(G3:G5,G3:G5,2,2)</f>
        <v>1</v>
      </c>
      <c r="I3" s="14"/>
      <c r="J3" s="9" t="s">
        <v>103</v>
      </c>
      <c r="K3" s="7">
        <f>AVERAGE(G3:G5)</f>
        <v>5.333333333333333</v>
      </c>
      <c r="L3" s="7">
        <f>STDEV(G3:G5)</f>
        <v>3.0550504633038935</v>
      </c>
      <c r="M3" s="49">
        <v>4.4753086419753085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78"/>
      <c r="B4" s="10" t="s">
        <v>38</v>
      </c>
      <c r="C4" s="57">
        <v>1</v>
      </c>
      <c r="D4" s="57">
        <v>2</v>
      </c>
      <c r="E4" s="17">
        <v>1</v>
      </c>
      <c r="F4" s="29">
        <f t="shared" si="0"/>
        <v>1.5</v>
      </c>
      <c r="G4" s="7">
        <f t="shared" si="1"/>
        <v>6</v>
      </c>
      <c r="H4" s="80"/>
      <c r="J4" s="42" t="s">
        <v>105</v>
      </c>
      <c r="K4" s="7">
        <f>AVERAGE(G6:G8)</f>
        <v>2.6666666666666665</v>
      </c>
      <c r="L4" s="7">
        <f>STDEV(G6:G8)</f>
        <v>1.1547005383792517</v>
      </c>
      <c r="M4" s="49">
        <v>3.3950617283950617</v>
      </c>
      <c r="N4" s="21">
        <f>TTEST(G3:G5,G6:G8,2,2)</f>
        <v>0.23019964108049898</v>
      </c>
      <c r="O4" s="13">
        <f>IF(K4/$K$3&gt;=1,K4/$K$3,-$K$3/K4)</f>
        <v>-2</v>
      </c>
    </row>
    <row r="5" spans="1:25" x14ac:dyDescent="0.35">
      <c r="A5" s="78"/>
      <c r="B5" s="10" t="s">
        <v>61</v>
      </c>
      <c r="C5" s="57">
        <v>1</v>
      </c>
      <c r="D5" s="57">
        <v>0</v>
      </c>
      <c r="E5" s="17">
        <v>1</v>
      </c>
      <c r="F5" s="29">
        <f t="shared" si="0"/>
        <v>0.5</v>
      </c>
      <c r="G5" s="7">
        <f t="shared" si="1"/>
        <v>2</v>
      </c>
      <c r="H5" s="80"/>
      <c r="J5" s="42" t="s">
        <v>106</v>
      </c>
      <c r="K5" s="7">
        <f>AVERAGE(G10:G11)</f>
        <v>3</v>
      </c>
      <c r="L5" s="7">
        <f>STDEV(G10:G11)</f>
        <v>4.2426406871192848</v>
      </c>
      <c r="M5" s="49">
        <v>4.783950617283951</v>
      </c>
      <c r="N5" s="21">
        <f>TTEST(G3:G5,G9:G11,2,2)</f>
        <v>0.83401920438957511</v>
      </c>
      <c r="O5" s="13">
        <f>IF(K5/$K$3&gt;=1,K5/$K$3,-$K$3/K5)</f>
        <v>-1.7777777777777777</v>
      </c>
    </row>
    <row r="6" spans="1:25" ht="15" customHeight="1" x14ac:dyDescent="0.35">
      <c r="A6" s="79" t="s">
        <v>105</v>
      </c>
      <c r="B6" s="10" t="s">
        <v>39</v>
      </c>
      <c r="C6" s="57">
        <v>0</v>
      </c>
      <c r="D6" s="57">
        <v>2</v>
      </c>
      <c r="E6" s="17">
        <v>1</v>
      </c>
      <c r="F6" s="1">
        <f t="shared" si="0"/>
        <v>1</v>
      </c>
      <c r="G6" s="7">
        <f t="shared" si="1"/>
        <v>4</v>
      </c>
      <c r="H6" s="80">
        <f>TTEST(G6:G8,G3:G5,2,2)</f>
        <v>0.23019964108049898</v>
      </c>
      <c r="J6" s="42" t="s">
        <v>104</v>
      </c>
      <c r="K6" s="7">
        <f>AVERAGE(G12:G14)</f>
        <v>2.6666666666666665</v>
      </c>
      <c r="L6" s="7">
        <f>STDEV(G12:G13)</f>
        <v>1.4142135623730951</v>
      </c>
      <c r="M6" s="49">
        <v>1.8209876543209877</v>
      </c>
      <c r="N6" s="21">
        <f>TTEST(G3:G5,G12:G14,2,2)</f>
        <v>0.23019964108049898</v>
      </c>
      <c r="O6" s="13">
        <f>IF(K6/$K$3&gt;=1,K6/$K$3,-$K$3/K6)</f>
        <v>-2</v>
      </c>
    </row>
    <row r="7" spans="1:25" ht="15" customHeight="1" x14ac:dyDescent="0.35">
      <c r="A7" s="79"/>
      <c r="B7" s="10" t="s">
        <v>40</v>
      </c>
      <c r="C7" s="57">
        <v>1</v>
      </c>
      <c r="D7" s="57">
        <v>0</v>
      </c>
      <c r="E7" s="17">
        <v>1</v>
      </c>
      <c r="F7" s="1">
        <f t="shared" si="0"/>
        <v>0.5</v>
      </c>
      <c r="G7" s="7">
        <f t="shared" si="1"/>
        <v>2</v>
      </c>
      <c r="H7" s="80"/>
    </row>
    <row r="8" spans="1:25" x14ac:dyDescent="0.35">
      <c r="A8" s="79"/>
      <c r="B8" s="10" t="s">
        <v>64</v>
      </c>
      <c r="C8" s="57">
        <v>1</v>
      </c>
      <c r="D8" s="57">
        <v>0</v>
      </c>
      <c r="E8" s="17">
        <v>1</v>
      </c>
      <c r="F8" s="1">
        <f t="shared" si="0"/>
        <v>0.5</v>
      </c>
      <c r="G8" s="7">
        <f t="shared" si="1"/>
        <v>2</v>
      </c>
      <c r="H8" s="80"/>
    </row>
    <row r="9" spans="1:25" ht="15" customHeight="1" x14ac:dyDescent="0.35">
      <c r="A9" s="79" t="s">
        <v>106</v>
      </c>
      <c r="B9" s="10" t="s">
        <v>41</v>
      </c>
      <c r="C9" s="57">
        <v>2</v>
      </c>
      <c r="D9" s="57">
        <v>2</v>
      </c>
      <c r="E9" s="17">
        <v>1</v>
      </c>
      <c r="F9" s="1">
        <f t="shared" si="0"/>
        <v>2</v>
      </c>
      <c r="G9" s="7">
        <f t="shared" si="1"/>
        <v>8</v>
      </c>
      <c r="H9" s="80">
        <f>TTEST(G9:G11,G3:G5,2,2)</f>
        <v>0.83401920438957511</v>
      </c>
      <c r="J9" s="14"/>
    </row>
    <row r="10" spans="1:25" x14ac:dyDescent="0.35">
      <c r="A10" s="79"/>
      <c r="B10" s="10" t="s">
        <v>42</v>
      </c>
      <c r="C10" s="57">
        <v>0</v>
      </c>
      <c r="D10" s="57">
        <v>0</v>
      </c>
      <c r="E10" s="17">
        <v>1</v>
      </c>
      <c r="F10" s="1">
        <f t="shared" si="0"/>
        <v>0</v>
      </c>
      <c r="G10" s="7">
        <f t="shared" si="1"/>
        <v>0</v>
      </c>
      <c r="H10" s="80"/>
    </row>
    <row r="11" spans="1:25" ht="15" customHeight="1" x14ac:dyDescent="0.35">
      <c r="A11" s="79"/>
      <c r="B11" s="10" t="s">
        <v>62</v>
      </c>
      <c r="C11" s="57">
        <v>1</v>
      </c>
      <c r="D11" s="57">
        <v>2</v>
      </c>
      <c r="E11" s="17">
        <v>1</v>
      </c>
      <c r="F11" s="1">
        <f t="shared" si="0"/>
        <v>1.5</v>
      </c>
      <c r="G11" s="7">
        <f t="shared" si="1"/>
        <v>6</v>
      </c>
      <c r="H11" s="80"/>
    </row>
    <row r="12" spans="1:25" x14ac:dyDescent="0.35">
      <c r="A12" s="79" t="s">
        <v>104</v>
      </c>
      <c r="B12" s="10" t="s">
        <v>43</v>
      </c>
      <c r="C12" s="57">
        <v>0</v>
      </c>
      <c r="D12" s="57">
        <v>1</v>
      </c>
      <c r="E12" s="17">
        <v>1</v>
      </c>
      <c r="F12" s="1">
        <f t="shared" si="0"/>
        <v>0.5</v>
      </c>
      <c r="G12" s="7">
        <f t="shared" si="1"/>
        <v>2</v>
      </c>
      <c r="H12" s="80">
        <f>TTEST(G12:G13,G3:G5,2,2)</f>
        <v>0.40195642649925789</v>
      </c>
    </row>
    <row r="13" spans="1:25" ht="15" customHeight="1" x14ac:dyDescent="0.35">
      <c r="A13" s="79"/>
      <c r="B13" s="10" t="s">
        <v>44</v>
      </c>
      <c r="C13" s="57">
        <v>1</v>
      </c>
      <c r="D13" s="57">
        <v>1</v>
      </c>
      <c r="E13" s="17">
        <v>1</v>
      </c>
      <c r="F13" s="1">
        <f t="shared" si="0"/>
        <v>1</v>
      </c>
      <c r="G13" s="7">
        <f>(F13/(0.05*E13))*0.2</f>
        <v>4</v>
      </c>
      <c r="H13" s="80"/>
    </row>
    <row r="14" spans="1:25" x14ac:dyDescent="0.35">
      <c r="A14" s="79"/>
      <c r="B14" s="10" t="s">
        <v>63</v>
      </c>
      <c r="C14" s="57">
        <v>1</v>
      </c>
      <c r="D14" s="57">
        <v>0</v>
      </c>
      <c r="E14" s="17">
        <v>1</v>
      </c>
      <c r="F14" s="1">
        <f t="shared" si="0"/>
        <v>0.5</v>
      </c>
      <c r="G14" s="7">
        <f>(F14/(0.05*E14))*0.2</f>
        <v>2</v>
      </c>
      <c r="H14" s="80"/>
    </row>
    <row r="15" spans="1:25" x14ac:dyDescent="0.35">
      <c r="A15" s="33" t="s">
        <v>70</v>
      </c>
      <c r="B15" s="10"/>
      <c r="C15" s="59"/>
      <c r="D15" s="59">
        <v>0</v>
      </c>
      <c r="E15" s="17">
        <v>1</v>
      </c>
      <c r="F15" s="1" t="s">
        <v>37</v>
      </c>
      <c r="G15" s="7" t="s">
        <v>37</v>
      </c>
    </row>
    <row r="16" spans="1:25" x14ac:dyDescent="0.35">
      <c r="A16" s="33" t="s">
        <v>71</v>
      </c>
      <c r="B16" s="10"/>
      <c r="C16" s="17"/>
      <c r="D16" s="17">
        <v>0</v>
      </c>
      <c r="E16" s="17">
        <v>1</v>
      </c>
      <c r="F16" s="1" t="s">
        <v>37</v>
      </c>
      <c r="G16" s="7" t="s">
        <v>37</v>
      </c>
      <c r="H16" s="14"/>
    </row>
    <row r="17" spans="1:8" x14ac:dyDescent="0.35">
      <c r="A17" s="36" t="s">
        <v>54</v>
      </c>
      <c r="H17" s="14"/>
    </row>
    <row r="18" spans="1:8" x14ac:dyDescent="0.35">
      <c r="A18" s="36" t="s">
        <v>55</v>
      </c>
    </row>
    <row r="22" spans="1:8" x14ac:dyDescent="0.35">
      <c r="D22" s="10">
        <v>1</v>
      </c>
      <c r="E22" s="9" t="s">
        <v>103</v>
      </c>
    </row>
    <row r="23" spans="1:8" x14ac:dyDescent="0.35">
      <c r="D23" s="10">
        <v>2</v>
      </c>
      <c r="E23" s="42" t="s">
        <v>105</v>
      </c>
    </row>
    <row r="24" spans="1:8" x14ac:dyDescent="0.35">
      <c r="D24" s="10">
        <v>3</v>
      </c>
      <c r="E24" s="42" t="s">
        <v>106</v>
      </c>
    </row>
    <row r="25" spans="1:8" x14ac:dyDescent="0.35">
      <c r="D25" s="10">
        <v>4</v>
      </c>
      <c r="E25" s="42" t="s">
        <v>104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3199-523A-4BE2-B287-1564609EB7CE}">
  <sheetPr>
    <pageSetUpPr fitToPage="1"/>
  </sheetPr>
  <dimension ref="A1:V26"/>
  <sheetViews>
    <sheetView showRuler="0" topLeftCell="E1" workbookViewId="0">
      <selection activeCell="P4" sqref="P4:Q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72" t="s">
        <v>56</v>
      </c>
      <c r="D1" s="72"/>
      <c r="E1" s="72"/>
      <c r="F1" s="61"/>
      <c r="G1" s="72" t="s">
        <v>57</v>
      </c>
      <c r="H1" s="72"/>
      <c r="I1" s="72"/>
      <c r="J1" s="62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3" t="s">
        <v>31</v>
      </c>
      <c r="L2" s="53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3" t="s">
        <v>53</v>
      </c>
      <c r="S2" s="16" t="s">
        <v>69</v>
      </c>
      <c r="T2" s="16" t="s">
        <v>60</v>
      </c>
    </row>
    <row r="3" spans="1:22" x14ac:dyDescent="0.35">
      <c r="A3" s="78" t="s">
        <v>103</v>
      </c>
      <c r="B3" s="10" t="s">
        <v>36</v>
      </c>
      <c r="C3" s="17">
        <v>49</v>
      </c>
      <c r="D3" s="17"/>
      <c r="E3" s="32"/>
      <c r="F3" s="32"/>
      <c r="G3" s="17">
        <v>36</v>
      </c>
      <c r="H3" s="17"/>
      <c r="I3" s="32"/>
      <c r="J3" s="32"/>
      <c r="K3" s="51">
        <v>1</v>
      </c>
      <c r="L3" s="50">
        <f>AVERAGE(C3,G3)</f>
        <v>42.5</v>
      </c>
      <c r="M3" s="7">
        <f t="shared" ref="M3:M5" si="0">(L3/(0.01*K3))*0.2</f>
        <v>850</v>
      </c>
      <c r="N3" s="14"/>
      <c r="O3" s="9" t="s">
        <v>103</v>
      </c>
      <c r="P3" s="7">
        <f>AVERAGE(M3:M5)</f>
        <v>863.33333333333337</v>
      </c>
      <c r="Q3" s="7">
        <f>STDEV(M3:M5)</f>
        <v>11.547005383792516</v>
      </c>
      <c r="R3" s="49">
        <v>4.4753086419753085</v>
      </c>
      <c r="S3" s="1"/>
      <c r="T3" s="13">
        <f>IF(P3/$P$3&gt;=1,P3/$P$3,-$P$3/P3)</f>
        <v>1</v>
      </c>
    </row>
    <row r="4" spans="1:22" x14ac:dyDescent="0.35">
      <c r="A4" s="78"/>
      <c r="B4" s="10" t="s">
        <v>38</v>
      </c>
      <c r="C4" s="17">
        <v>38</v>
      </c>
      <c r="D4" s="17"/>
      <c r="E4" s="32"/>
      <c r="F4" s="32"/>
      <c r="G4" s="17">
        <v>49</v>
      </c>
      <c r="H4" s="17"/>
      <c r="I4" s="32"/>
      <c r="J4" s="32"/>
      <c r="K4" s="51">
        <v>1</v>
      </c>
      <c r="L4" s="50">
        <f t="shared" ref="L4:L5" si="1">AVERAGE(C4,G4)</f>
        <v>43.5</v>
      </c>
      <c r="M4" s="7">
        <f t="shared" si="0"/>
        <v>870</v>
      </c>
      <c r="N4" s="14"/>
      <c r="O4" s="42" t="s">
        <v>105</v>
      </c>
      <c r="P4" s="7">
        <f>AVERAGE(M6:M8)</f>
        <v>0</v>
      </c>
      <c r="Q4" s="7">
        <f>STDEV(M6:M8)</f>
        <v>0</v>
      </c>
      <c r="R4" s="49">
        <v>3.3950617283950617</v>
      </c>
      <c r="S4" s="21">
        <f>TTEST(M3:M5,M6:M8,2,2)</f>
        <v>2.132551616315131E-8</v>
      </c>
      <c r="T4" s="13" t="e">
        <f>IF(P4/$P$3&gt;=1,P4/$P$3,-$P$3/P4)</f>
        <v>#DIV/0!</v>
      </c>
    </row>
    <row r="5" spans="1:22" x14ac:dyDescent="0.35">
      <c r="A5" s="78"/>
      <c r="B5" s="10" t="s">
        <v>61</v>
      </c>
      <c r="C5" s="51">
        <v>44</v>
      </c>
      <c r="D5" s="51"/>
      <c r="E5" s="54"/>
      <c r="F5" s="54"/>
      <c r="G5" s="51">
        <v>43</v>
      </c>
      <c r="H5" s="51"/>
      <c r="I5" s="54"/>
      <c r="J5" s="54"/>
      <c r="K5" s="51">
        <v>1</v>
      </c>
      <c r="L5" s="50">
        <f t="shared" si="1"/>
        <v>43.5</v>
      </c>
      <c r="M5" s="7">
        <f t="shared" si="0"/>
        <v>870</v>
      </c>
      <c r="N5" s="14"/>
      <c r="O5" s="42" t="s">
        <v>106</v>
      </c>
      <c r="P5" s="7">
        <f>AVERAGE(M9:M11)</f>
        <v>20</v>
      </c>
      <c r="Q5" s="7">
        <f>STDEV(M9:M11)</f>
        <v>26.457513110645905</v>
      </c>
      <c r="R5" s="49">
        <v>4.783950617283951</v>
      </c>
      <c r="S5" s="21">
        <f>TTEST(M3:M5,M9:M11,2,2)</f>
        <v>9.1289160329294222E-7</v>
      </c>
      <c r="T5" s="13">
        <f>IF(P5/$P$3&gt;=1,P5/$P$3,-$P$3/P5)</f>
        <v>-43.166666666666671</v>
      </c>
    </row>
    <row r="6" spans="1:22" x14ac:dyDescent="0.35">
      <c r="A6" s="79" t="s">
        <v>105</v>
      </c>
      <c r="B6" s="10" t="s">
        <v>39</v>
      </c>
      <c r="C6" s="51">
        <v>0</v>
      </c>
      <c r="D6" s="51"/>
      <c r="E6" s="54"/>
      <c r="F6" s="54"/>
      <c r="G6" s="51">
        <v>0</v>
      </c>
      <c r="H6" s="51"/>
      <c r="I6" s="54"/>
      <c r="J6" s="54"/>
      <c r="K6" s="51">
        <v>1</v>
      </c>
      <c r="L6" s="50">
        <f>AVERAGE(C6,G6)</f>
        <v>0</v>
      </c>
      <c r="M6" s="7">
        <f t="shared" ref="M6:M11" si="2">(L6/(0.01*K6))*0.2</f>
        <v>0</v>
      </c>
      <c r="N6" s="14"/>
      <c r="O6" s="42" t="s">
        <v>104</v>
      </c>
      <c r="P6" s="7">
        <f>AVERAGE(M12:M14)</f>
        <v>0</v>
      </c>
      <c r="Q6" s="7">
        <f>STDEV(M12:M14)</f>
        <v>0</v>
      </c>
      <c r="R6" s="49">
        <v>1.8209876543209877</v>
      </c>
      <c r="S6" s="21">
        <f>TTEST(M3:M5,M12:M14,2,2)</f>
        <v>2.132551616315131E-8</v>
      </c>
      <c r="T6" s="13" t="e">
        <f>IF(P6/$P$3&gt;=1,P6/$P$3,-$P$3/P6)</f>
        <v>#DIV/0!</v>
      </c>
      <c r="V6" s="14"/>
    </row>
    <row r="7" spans="1:22" ht="15" customHeight="1" x14ac:dyDescent="0.35">
      <c r="A7" s="79"/>
      <c r="B7" s="10" t="s">
        <v>40</v>
      </c>
      <c r="C7" s="51">
        <v>0</v>
      </c>
      <c r="D7" s="51"/>
      <c r="E7" s="54"/>
      <c r="F7" s="54"/>
      <c r="G7" s="51">
        <v>0</v>
      </c>
      <c r="H7" s="51"/>
      <c r="I7" s="54"/>
      <c r="J7" s="54"/>
      <c r="K7" s="51">
        <v>1</v>
      </c>
      <c r="L7" s="50">
        <f t="shared" ref="L7:L8" si="3">AVERAGE(C7,G7)</f>
        <v>0</v>
      </c>
      <c r="M7" s="7">
        <f t="shared" si="2"/>
        <v>0</v>
      </c>
      <c r="N7" s="14"/>
    </row>
    <row r="8" spans="1:22" ht="15" customHeight="1" x14ac:dyDescent="0.35">
      <c r="A8" s="79"/>
      <c r="B8" s="10" t="s">
        <v>64</v>
      </c>
      <c r="C8" s="51">
        <v>0</v>
      </c>
      <c r="D8" s="51"/>
      <c r="E8" s="54"/>
      <c r="F8" s="54"/>
      <c r="G8" s="51">
        <v>0</v>
      </c>
      <c r="H8" s="51"/>
      <c r="I8" s="54"/>
      <c r="J8" s="54"/>
      <c r="K8" s="51">
        <v>1</v>
      </c>
      <c r="L8" s="50">
        <f t="shared" si="3"/>
        <v>0</v>
      </c>
      <c r="M8" s="7">
        <f t="shared" si="2"/>
        <v>0</v>
      </c>
      <c r="N8" s="14"/>
    </row>
    <row r="9" spans="1:22" ht="15" customHeight="1" x14ac:dyDescent="0.35">
      <c r="A9" s="79" t="s">
        <v>106</v>
      </c>
      <c r="B9" s="10" t="s">
        <v>41</v>
      </c>
      <c r="C9" s="57">
        <v>1</v>
      </c>
      <c r="D9" s="57"/>
      <c r="E9" s="57"/>
      <c r="F9" s="57"/>
      <c r="G9" s="55">
        <v>0</v>
      </c>
      <c r="H9" s="57"/>
      <c r="I9" s="57"/>
      <c r="J9" s="57"/>
      <c r="K9" s="51">
        <v>1</v>
      </c>
      <c r="L9" s="50">
        <f>AVERAGE(C9,G9)</f>
        <v>0.5</v>
      </c>
      <c r="M9" s="7">
        <f t="shared" si="2"/>
        <v>10</v>
      </c>
      <c r="N9" s="14"/>
    </row>
    <row r="10" spans="1:22" x14ac:dyDescent="0.35">
      <c r="A10" s="79"/>
      <c r="B10" s="10" t="s">
        <v>42</v>
      </c>
      <c r="C10" s="57">
        <v>1</v>
      </c>
      <c r="D10" s="57"/>
      <c r="E10" s="57"/>
      <c r="F10" s="57"/>
      <c r="G10" s="57">
        <v>4</v>
      </c>
      <c r="H10" s="57"/>
      <c r="I10" s="57"/>
      <c r="J10" s="57"/>
      <c r="K10" s="51">
        <v>1</v>
      </c>
      <c r="L10" s="50">
        <f t="shared" ref="L10:L11" si="4">AVERAGE(C10,G10)</f>
        <v>2.5</v>
      </c>
      <c r="M10" s="7">
        <f t="shared" si="2"/>
        <v>50</v>
      </c>
      <c r="N10" s="14"/>
    </row>
    <row r="11" spans="1:22" ht="15" customHeight="1" x14ac:dyDescent="0.35">
      <c r="A11" s="79"/>
      <c r="B11" s="10" t="s">
        <v>62</v>
      </c>
      <c r="C11" s="57">
        <v>0</v>
      </c>
      <c r="D11" s="57"/>
      <c r="E11" s="57"/>
      <c r="F11" s="57"/>
      <c r="G11" s="57">
        <v>0</v>
      </c>
      <c r="H11" s="57"/>
      <c r="I11" s="57"/>
      <c r="J11" s="57"/>
      <c r="K11" s="51">
        <v>1</v>
      </c>
      <c r="L11" s="50">
        <f t="shared" si="4"/>
        <v>0</v>
      </c>
      <c r="M11" s="7">
        <f t="shared" si="2"/>
        <v>0</v>
      </c>
      <c r="N11" s="14"/>
    </row>
    <row r="12" spans="1:22" ht="16" customHeight="1" x14ac:dyDescent="0.35">
      <c r="A12" s="79" t="s">
        <v>112</v>
      </c>
      <c r="B12" s="10" t="s">
        <v>43</v>
      </c>
      <c r="C12" s="57"/>
      <c r="D12" s="57"/>
      <c r="E12" s="57"/>
      <c r="F12" s="57">
        <v>0</v>
      </c>
      <c r="G12" s="55"/>
      <c r="H12" s="57"/>
      <c r="I12" s="57"/>
      <c r="J12" s="57">
        <v>0</v>
      </c>
      <c r="K12" s="51">
        <v>0.1</v>
      </c>
      <c r="L12" s="48">
        <f>AVERAGE(F12,J12)</f>
        <v>0</v>
      </c>
      <c r="M12" s="7">
        <f>(L12/(0.05*K12))*0.2</f>
        <v>0</v>
      </c>
      <c r="N12" s="14"/>
    </row>
    <row r="13" spans="1:22" ht="15" customHeight="1" x14ac:dyDescent="0.35">
      <c r="A13" s="79"/>
      <c r="B13" s="10" t="s">
        <v>44</v>
      </c>
      <c r="C13" s="57"/>
      <c r="D13" s="57"/>
      <c r="E13" s="57"/>
      <c r="F13" s="57">
        <v>0</v>
      </c>
      <c r="G13" s="57"/>
      <c r="H13" s="57"/>
      <c r="I13" s="57"/>
      <c r="J13" s="57">
        <v>0</v>
      </c>
      <c r="K13" s="51">
        <v>0.1</v>
      </c>
      <c r="L13" s="48">
        <f t="shared" ref="L13:L14" si="5">AVERAGE(F13,J13)</f>
        <v>0</v>
      </c>
      <c r="M13" s="7">
        <f t="shared" ref="M13:M14" si="6">(L13/(0.05*K13))*0.2</f>
        <v>0</v>
      </c>
      <c r="N13" s="14"/>
    </row>
    <row r="14" spans="1:22" x14ac:dyDescent="0.35">
      <c r="A14" s="79"/>
      <c r="B14" s="10" t="s">
        <v>63</v>
      </c>
      <c r="C14" s="57"/>
      <c r="D14" s="57"/>
      <c r="E14" s="57"/>
      <c r="F14" s="57">
        <v>0</v>
      </c>
      <c r="G14" s="57"/>
      <c r="H14" s="57"/>
      <c r="I14" s="57"/>
      <c r="J14" s="57">
        <v>0</v>
      </c>
      <c r="K14" s="51">
        <v>0.1</v>
      </c>
      <c r="L14" s="48">
        <f t="shared" si="5"/>
        <v>0</v>
      </c>
      <c r="M14" s="7">
        <f t="shared" si="6"/>
        <v>0</v>
      </c>
      <c r="N14" s="14"/>
    </row>
    <row r="15" spans="1:22" x14ac:dyDescent="0.35">
      <c r="A15" s="33" t="s">
        <v>65</v>
      </c>
      <c r="B15" s="10"/>
      <c r="C15" s="51">
        <v>0</v>
      </c>
      <c r="D15" s="51" t="s">
        <v>37</v>
      </c>
      <c r="E15" s="51" t="s">
        <v>37</v>
      </c>
      <c r="F15" s="51" t="s">
        <v>37</v>
      </c>
      <c r="G15" s="51" t="s">
        <v>37</v>
      </c>
      <c r="H15" s="51" t="s">
        <v>37</v>
      </c>
      <c r="I15" s="51" t="s">
        <v>37</v>
      </c>
      <c r="J15" s="51" t="s">
        <v>37</v>
      </c>
      <c r="K15" s="51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66</v>
      </c>
      <c r="B16" s="10"/>
      <c r="C16" s="51">
        <v>0</v>
      </c>
      <c r="D16" s="51" t="s">
        <v>37</v>
      </c>
      <c r="E16" s="51" t="s">
        <v>37</v>
      </c>
      <c r="F16" s="51" t="s">
        <v>37</v>
      </c>
      <c r="G16" s="51" t="s">
        <v>37</v>
      </c>
      <c r="H16" s="51" t="s">
        <v>37</v>
      </c>
      <c r="I16" s="51" t="s">
        <v>37</v>
      </c>
      <c r="J16" s="51" t="s">
        <v>37</v>
      </c>
      <c r="K16" s="51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81" t="s">
        <v>68</v>
      </c>
      <c r="B18" s="81"/>
      <c r="C18" s="81"/>
    </row>
    <row r="19" spans="1:14" x14ac:dyDescent="0.35">
      <c r="A19" s="81" t="s">
        <v>58</v>
      </c>
      <c r="B19" s="81"/>
      <c r="C19" s="81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8:C18"/>
    <mergeCell ref="A19:C19"/>
    <mergeCell ref="C1:E1"/>
    <mergeCell ref="G1:I1"/>
    <mergeCell ref="A3:A5"/>
    <mergeCell ref="A6:A8"/>
    <mergeCell ref="A9:A11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showRuler="0" topLeftCell="D1" workbookViewId="0">
      <selection activeCell="P4" sqref="P4:Q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72" t="s">
        <v>56</v>
      </c>
      <c r="D1" s="72"/>
      <c r="E1" s="72"/>
      <c r="F1" s="56"/>
      <c r="G1" s="72" t="s">
        <v>57</v>
      </c>
      <c r="H1" s="72"/>
      <c r="I1" s="72"/>
      <c r="J1" s="23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3" t="s">
        <v>31</v>
      </c>
      <c r="L2" s="53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3" t="s">
        <v>53</v>
      </c>
      <c r="S2" s="16" t="s">
        <v>69</v>
      </c>
      <c r="T2" s="16" t="s">
        <v>60</v>
      </c>
    </row>
    <row r="3" spans="1:22" x14ac:dyDescent="0.35">
      <c r="A3" s="78" t="s">
        <v>103</v>
      </c>
      <c r="B3" s="10" t="s">
        <v>36</v>
      </c>
      <c r="C3" s="17"/>
      <c r="D3" s="17">
        <v>12</v>
      </c>
      <c r="E3" s="32"/>
      <c r="F3" s="32"/>
      <c r="G3" s="17"/>
      <c r="H3" s="17">
        <v>13</v>
      </c>
      <c r="I3" s="32"/>
      <c r="J3" s="32"/>
      <c r="K3" s="51">
        <v>0.1</v>
      </c>
      <c r="L3" s="50">
        <f>AVERAGE(D3,H3)</f>
        <v>12.5</v>
      </c>
      <c r="M3" s="7">
        <f t="shared" ref="M3:M11" si="0">(L3/(0.01*K3))*0.2</f>
        <v>2500</v>
      </c>
      <c r="N3" s="14"/>
      <c r="O3" s="9" t="s">
        <v>103</v>
      </c>
      <c r="P3" s="7">
        <f>AVERAGE(M3:M5)</f>
        <v>4700</v>
      </c>
      <c r="Q3" s="7">
        <f>STDEV(M3:M5)</f>
        <v>2835.4893757515651</v>
      </c>
      <c r="R3" s="49">
        <v>4.4753086419753085</v>
      </c>
      <c r="S3" s="1"/>
      <c r="T3" s="13">
        <f>IF(P3/$P$3&gt;=1,P3/$P$3,-$P$3/P3)</f>
        <v>1</v>
      </c>
    </row>
    <row r="4" spans="1:22" x14ac:dyDescent="0.35">
      <c r="A4" s="78"/>
      <c r="B4" s="10" t="s">
        <v>38</v>
      </c>
      <c r="C4" s="17"/>
      <c r="D4" s="17">
        <v>19</v>
      </c>
      <c r="E4" s="32"/>
      <c r="F4" s="32"/>
      <c r="G4" s="17"/>
      <c r="H4" s="17">
        <v>18</v>
      </c>
      <c r="I4" s="32"/>
      <c r="J4" s="32"/>
      <c r="K4" s="51">
        <v>0.1</v>
      </c>
      <c r="L4" s="50">
        <f>AVERAGE(D4,H4)</f>
        <v>18.5</v>
      </c>
      <c r="M4" s="7">
        <f t="shared" si="0"/>
        <v>3700</v>
      </c>
      <c r="N4" s="14"/>
      <c r="O4" s="42" t="s">
        <v>105</v>
      </c>
      <c r="P4" s="7">
        <f>AVERAGE(M6:M8)</f>
        <v>0</v>
      </c>
      <c r="Q4" s="7">
        <f>STDEV(M6:M8)</f>
        <v>0</v>
      </c>
      <c r="R4" s="49">
        <v>3.3950617283950617</v>
      </c>
      <c r="S4" s="21">
        <f>TTEST(M3:M5,M6:M8,2,2)</f>
        <v>4.542364569901184E-2</v>
      </c>
      <c r="T4" s="13" t="e">
        <f>IF(P4/$P$3&gt;=1,P4/$P$3,-$P$3/P4)</f>
        <v>#DIV/0!</v>
      </c>
    </row>
    <row r="5" spans="1:22" x14ac:dyDescent="0.35">
      <c r="A5" s="78"/>
      <c r="B5" s="10" t="s">
        <v>61</v>
      </c>
      <c r="C5" s="51"/>
      <c r="D5" s="51">
        <v>39</v>
      </c>
      <c r="E5" s="54"/>
      <c r="F5" s="54"/>
      <c r="G5" s="51"/>
      <c r="H5" s="51">
        <v>40</v>
      </c>
      <c r="I5" s="54"/>
      <c r="J5" s="54"/>
      <c r="K5" s="51">
        <v>0.1</v>
      </c>
      <c r="L5" s="50">
        <f>AVERAGE(D5,H5)</f>
        <v>39.5</v>
      </c>
      <c r="M5" s="7">
        <f t="shared" si="0"/>
        <v>7900</v>
      </c>
      <c r="N5" s="14"/>
      <c r="O5" s="42" t="s">
        <v>106</v>
      </c>
      <c r="P5" s="7">
        <f>AVERAGE(M9:M11)</f>
        <v>33.333333333333336</v>
      </c>
      <c r="Q5" s="7">
        <f>STDEV(M9:M11)</f>
        <v>41.633319989322651</v>
      </c>
      <c r="R5" s="49">
        <v>4.783950617283951</v>
      </c>
      <c r="S5" s="21">
        <f>TTEST(M3:M5,M9:M11,2,2)</f>
        <v>4.6381116688941064E-2</v>
      </c>
      <c r="T5" s="13">
        <f>IF(P5/$P$3&gt;=1,P5/$P$3,-$P$3/P5)</f>
        <v>-141</v>
      </c>
    </row>
    <row r="6" spans="1:22" x14ac:dyDescent="0.35">
      <c r="A6" s="79" t="s">
        <v>105</v>
      </c>
      <c r="B6" s="10" t="s">
        <v>39</v>
      </c>
      <c r="C6" s="51">
        <v>0</v>
      </c>
      <c r="D6" s="51"/>
      <c r="E6" s="54"/>
      <c r="F6" s="54"/>
      <c r="G6" s="51">
        <v>0</v>
      </c>
      <c r="H6" s="51"/>
      <c r="I6" s="54"/>
      <c r="J6" s="54"/>
      <c r="K6" s="51">
        <v>1</v>
      </c>
      <c r="L6" s="50">
        <f>AVERAGE(C6,G6)</f>
        <v>0</v>
      </c>
      <c r="M6" s="7">
        <f t="shared" si="0"/>
        <v>0</v>
      </c>
      <c r="N6" s="14"/>
      <c r="O6" s="42" t="s">
        <v>104</v>
      </c>
      <c r="P6" s="7">
        <f>AVERAGE(M12:M14)</f>
        <v>0</v>
      </c>
      <c r="Q6" s="7">
        <f>STDEV(M12:M14)</f>
        <v>0</v>
      </c>
      <c r="R6" s="49">
        <v>1.8209876543209877</v>
      </c>
      <c r="S6" s="21">
        <f>TTEST(M3:M5,M12:M14,2,2)</f>
        <v>4.542364569901184E-2</v>
      </c>
      <c r="T6" s="13" t="e">
        <f>IF(P6/$P$3&gt;=1,P6/$P$3,-$P$3/P6)</f>
        <v>#DIV/0!</v>
      </c>
      <c r="V6" s="14"/>
    </row>
    <row r="7" spans="1:22" ht="15" customHeight="1" x14ac:dyDescent="0.35">
      <c r="A7" s="79"/>
      <c r="B7" s="10" t="s">
        <v>40</v>
      </c>
      <c r="C7" s="51">
        <v>0</v>
      </c>
      <c r="D7" s="51"/>
      <c r="E7" s="54"/>
      <c r="F7" s="54"/>
      <c r="G7" s="51">
        <v>0</v>
      </c>
      <c r="H7" s="51"/>
      <c r="I7" s="54"/>
      <c r="J7" s="54"/>
      <c r="K7" s="51">
        <v>1</v>
      </c>
      <c r="L7" s="50">
        <f t="shared" ref="L7:L8" si="1">AVERAGE(C7,G7)</f>
        <v>0</v>
      </c>
      <c r="M7" s="7">
        <f t="shared" si="0"/>
        <v>0</v>
      </c>
      <c r="N7" s="14"/>
    </row>
    <row r="8" spans="1:22" ht="15" customHeight="1" x14ac:dyDescent="0.35">
      <c r="A8" s="79"/>
      <c r="B8" s="10" t="s">
        <v>64</v>
      </c>
      <c r="C8" s="51">
        <v>0</v>
      </c>
      <c r="D8" s="51"/>
      <c r="E8" s="54"/>
      <c r="F8" s="54"/>
      <c r="G8" s="51">
        <v>0</v>
      </c>
      <c r="H8" s="51"/>
      <c r="I8" s="54"/>
      <c r="J8" s="54"/>
      <c r="K8" s="51">
        <v>1</v>
      </c>
      <c r="L8" s="50">
        <f t="shared" si="1"/>
        <v>0</v>
      </c>
      <c r="M8" s="7">
        <f t="shared" si="0"/>
        <v>0</v>
      </c>
      <c r="N8" s="14"/>
    </row>
    <row r="9" spans="1:22" ht="15" customHeight="1" x14ac:dyDescent="0.35">
      <c r="A9" s="79" t="s">
        <v>106</v>
      </c>
      <c r="B9" s="10" t="s">
        <v>41</v>
      </c>
      <c r="C9" s="57">
        <v>0</v>
      </c>
      <c r="D9" s="57"/>
      <c r="E9" s="57"/>
      <c r="F9" s="57"/>
      <c r="G9" s="55">
        <v>0</v>
      </c>
      <c r="H9" s="57"/>
      <c r="I9" s="57"/>
      <c r="J9" s="57"/>
      <c r="K9" s="51">
        <v>1</v>
      </c>
      <c r="L9" s="50">
        <f>AVERAGE(C9,G9)</f>
        <v>0</v>
      </c>
      <c r="M9" s="7">
        <f t="shared" si="0"/>
        <v>0</v>
      </c>
      <c r="N9" s="14"/>
    </row>
    <row r="10" spans="1:22" x14ac:dyDescent="0.35">
      <c r="A10" s="79"/>
      <c r="B10" s="10" t="s">
        <v>42</v>
      </c>
      <c r="C10" s="57">
        <v>2</v>
      </c>
      <c r="D10" s="57"/>
      <c r="E10" s="57"/>
      <c r="F10" s="57"/>
      <c r="G10" s="57">
        <v>0</v>
      </c>
      <c r="H10" s="57"/>
      <c r="I10" s="57"/>
      <c r="J10" s="57"/>
      <c r="K10" s="51">
        <v>1</v>
      </c>
      <c r="L10" s="50">
        <f t="shared" ref="L10:L11" si="2">AVERAGE(C10,G10)</f>
        <v>1</v>
      </c>
      <c r="M10" s="7">
        <f t="shared" si="0"/>
        <v>20</v>
      </c>
      <c r="N10" s="14"/>
    </row>
    <row r="11" spans="1:22" ht="15" customHeight="1" x14ac:dyDescent="0.35">
      <c r="A11" s="79"/>
      <c r="B11" s="10" t="s">
        <v>62</v>
      </c>
      <c r="C11" s="57">
        <v>3</v>
      </c>
      <c r="D11" s="57"/>
      <c r="E11" s="57"/>
      <c r="F11" s="57"/>
      <c r="G11" s="57">
        <v>5</v>
      </c>
      <c r="H11" s="57"/>
      <c r="I11" s="57"/>
      <c r="J11" s="57"/>
      <c r="K11" s="51">
        <v>1</v>
      </c>
      <c r="L11" s="50">
        <f t="shared" si="2"/>
        <v>4</v>
      </c>
      <c r="M11" s="7">
        <f t="shared" si="0"/>
        <v>80</v>
      </c>
      <c r="N11" s="14"/>
    </row>
    <row r="12" spans="1:22" ht="16" customHeight="1" x14ac:dyDescent="0.35">
      <c r="A12" s="79" t="s">
        <v>112</v>
      </c>
      <c r="B12" s="10" t="s">
        <v>43</v>
      </c>
      <c r="C12" s="57"/>
      <c r="D12" s="57"/>
      <c r="E12" s="57"/>
      <c r="F12" s="57">
        <v>0</v>
      </c>
      <c r="G12" s="55"/>
      <c r="H12" s="57"/>
      <c r="I12" s="57"/>
      <c r="J12" s="57">
        <v>0</v>
      </c>
      <c r="K12" s="51">
        <v>0.1</v>
      </c>
      <c r="L12" s="48">
        <f>AVERAGE(F12,J12)</f>
        <v>0</v>
      </c>
      <c r="M12" s="7">
        <f>(L12/(0.05*K12))*0.2</f>
        <v>0</v>
      </c>
      <c r="N12" s="14"/>
    </row>
    <row r="13" spans="1:22" ht="15" customHeight="1" x14ac:dyDescent="0.35">
      <c r="A13" s="79"/>
      <c r="B13" s="10" t="s">
        <v>44</v>
      </c>
      <c r="C13" s="57"/>
      <c r="D13" s="57"/>
      <c r="E13" s="57"/>
      <c r="F13" s="57">
        <v>0</v>
      </c>
      <c r="G13" s="57"/>
      <c r="H13" s="57"/>
      <c r="I13" s="57"/>
      <c r="J13" s="57">
        <v>0</v>
      </c>
      <c r="K13" s="51">
        <v>0.1</v>
      </c>
      <c r="L13" s="48">
        <f t="shared" ref="L13:L14" si="3">AVERAGE(F13,J13)</f>
        <v>0</v>
      </c>
      <c r="M13" s="7">
        <f t="shared" ref="M13:M14" si="4">(L13/(0.05*K13))*0.2</f>
        <v>0</v>
      </c>
      <c r="N13" s="14"/>
    </row>
    <row r="14" spans="1:22" x14ac:dyDescent="0.35">
      <c r="A14" s="79"/>
      <c r="B14" s="10" t="s">
        <v>63</v>
      </c>
      <c r="C14" s="57"/>
      <c r="D14" s="57"/>
      <c r="E14" s="57"/>
      <c r="F14" s="57">
        <v>0</v>
      </c>
      <c r="G14" s="57"/>
      <c r="H14" s="57"/>
      <c r="I14" s="57"/>
      <c r="J14" s="57">
        <v>0</v>
      </c>
      <c r="K14" s="51">
        <v>0.1</v>
      </c>
      <c r="L14" s="48">
        <f t="shared" si="3"/>
        <v>0</v>
      </c>
      <c r="M14" s="7">
        <f t="shared" si="4"/>
        <v>0</v>
      </c>
      <c r="N14" s="14"/>
    </row>
    <row r="15" spans="1:22" x14ac:dyDescent="0.35">
      <c r="A15" s="33" t="s">
        <v>65</v>
      </c>
      <c r="B15" s="10"/>
      <c r="C15" s="51">
        <v>0</v>
      </c>
      <c r="D15" s="51" t="s">
        <v>37</v>
      </c>
      <c r="E15" s="51" t="s">
        <v>37</v>
      </c>
      <c r="F15" s="51" t="s">
        <v>37</v>
      </c>
      <c r="G15" s="51" t="s">
        <v>37</v>
      </c>
      <c r="H15" s="51" t="s">
        <v>37</v>
      </c>
      <c r="I15" s="51" t="s">
        <v>37</v>
      </c>
      <c r="J15" s="51" t="s">
        <v>37</v>
      </c>
      <c r="K15" s="51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66</v>
      </c>
      <c r="B16" s="10"/>
      <c r="C16" s="51">
        <v>0</v>
      </c>
      <c r="D16" s="51" t="s">
        <v>37</v>
      </c>
      <c r="E16" s="51" t="s">
        <v>37</v>
      </c>
      <c r="F16" s="51" t="s">
        <v>37</v>
      </c>
      <c r="G16" s="51" t="s">
        <v>37</v>
      </c>
      <c r="H16" s="51" t="s">
        <v>37</v>
      </c>
      <c r="I16" s="51" t="s">
        <v>37</v>
      </c>
      <c r="J16" s="51" t="s">
        <v>37</v>
      </c>
      <c r="K16" s="51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81" t="s">
        <v>68</v>
      </c>
      <c r="B18" s="81"/>
      <c r="C18" s="81"/>
    </row>
    <row r="19" spans="1:14" x14ac:dyDescent="0.35">
      <c r="A19" s="81" t="s">
        <v>58</v>
      </c>
      <c r="B19" s="81"/>
      <c r="C19" s="81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6969-C5D7-4EAA-BC0F-91D3C3FB073C}">
  <sheetPr>
    <pageSetUpPr fitToPage="1"/>
  </sheetPr>
  <dimension ref="A1:V26"/>
  <sheetViews>
    <sheetView showRuler="0" topLeftCell="D1" workbookViewId="0">
      <selection activeCell="P4" sqref="P4:Q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72" t="s">
        <v>56</v>
      </c>
      <c r="D1" s="72"/>
      <c r="E1" s="72"/>
      <c r="F1" s="61"/>
      <c r="G1" s="72" t="s">
        <v>57</v>
      </c>
      <c r="H1" s="72"/>
      <c r="I1" s="72"/>
      <c r="J1" s="62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3" t="s">
        <v>31</v>
      </c>
      <c r="L2" s="53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3" t="s">
        <v>53</v>
      </c>
      <c r="S2" s="16" t="s">
        <v>69</v>
      </c>
      <c r="T2" s="16" t="s">
        <v>60</v>
      </c>
    </row>
    <row r="3" spans="1:22" x14ac:dyDescent="0.35">
      <c r="A3" s="78" t="s">
        <v>103</v>
      </c>
      <c r="B3" s="10" t="s">
        <v>36</v>
      </c>
      <c r="C3" s="17"/>
      <c r="D3" s="17">
        <v>66</v>
      </c>
      <c r="E3" s="32"/>
      <c r="F3" s="32"/>
      <c r="G3" s="17"/>
      <c r="H3" s="17"/>
      <c r="I3" s="32"/>
      <c r="J3" s="32"/>
      <c r="K3" s="51">
        <v>0.1</v>
      </c>
      <c r="L3" s="50">
        <f>AVERAGE(D3,G3)</f>
        <v>66</v>
      </c>
      <c r="M3" s="7">
        <f t="shared" ref="M3:M11" si="0">(L3/(0.01*K3))*0.2</f>
        <v>13200</v>
      </c>
      <c r="N3" s="14"/>
      <c r="O3" s="9" t="s">
        <v>103</v>
      </c>
      <c r="P3" s="7">
        <f>AVERAGE(M3:M5)</f>
        <v>6820</v>
      </c>
      <c r="Q3" s="7">
        <f>STDEV(M3:M5)</f>
        <v>6320.8543726303333</v>
      </c>
      <c r="R3" s="49">
        <v>4.4753086419753085</v>
      </c>
      <c r="S3" s="1"/>
      <c r="T3" s="13">
        <f>IF(P3/$P$3&gt;=1,P3/$P$3,-$P$3/P3)</f>
        <v>1</v>
      </c>
    </row>
    <row r="4" spans="1:22" x14ac:dyDescent="0.35">
      <c r="A4" s="78"/>
      <c r="B4" s="10" t="s">
        <v>38</v>
      </c>
      <c r="C4" s="17">
        <v>28</v>
      </c>
      <c r="D4" s="17"/>
      <c r="E4" s="32"/>
      <c r="F4" s="32"/>
      <c r="G4" s="17">
        <v>31</v>
      </c>
      <c r="H4" s="17"/>
      <c r="I4" s="32"/>
      <c r="J4" s="32"/>
      <c r="K4" s="51">
        <v>1</v>
      </c>
      <c r="L4" s="50">
        <f>AVERAGE(C4,F4)</f>
        <v>28</v>
      </c>
      <c r="M4" s="7">
        <f t="shared" si="0"/>
        <v>560</v>
      </c>
      <c r="N4" s="14"/>
      <c r="O4" s="42" t="s">
        <v>105</v>
      </c>
      <c r="P4" s="7">
        <f>AVERAGE(M6:M8)</f>
        <v>0</v>
      </c>
      <c r="Q4" s="7">
        <f>STDEV(M6:M8)</f>
        <v>0</v>
      </c>
      <c r="R4" s="49">
        <v>3.3950617283950617</v>
      </c>
      <c r="S4" s="21">
        <f>TTEST(M3:M5,M6:M8,2,2)</f>
        <v>0.13501410312105674</v>
      </c>
      <c r="T4" s="13" t="e">
        <f>IF(P4/$P$3&gt;=1,P4/$P$3,-$P$3/P4)</f>
        <v>#DIV/0!</v>
      </c>
    </row>
    <row r="5" spans="1:22" x14ac:dyDescent="0.35">
      <c r="A5" s="78"/>
      <c r="B5" s="10" t="s">
        <v>61</v>
      </c>
      <c r="C5" s="51"/>
      <c r="D5" s="51">
        <v>27</v>
      </c>
      <c r="E5" s="54"/>
      <c r="F5" s="54"/>
      <c r="G5" s="51"/>
      <c r="H5" s="51">
        <v>40</v>
      </c>
      <c r="I5" s="54"/>
      <c r="J5" s="54"/>
      <c r="K5" s="51">
        <v>0.1</v>
      </c>
      <c r="L5" s="50">
        <f>AVERAGE(D5,H5)</f>
        <v>33.5</v>
      </c>
      <c r="M5" s="7">
        <f t="shared" si="0"/>
        <v>6700</v>
      </c>
      <c r="N5" s="14"/>
      <c r="O5" s="42" t="s">
        <v>106</v>
      </c>
      <c r="P5" s="7">
        <f>AVERAGE(M9:M11)</f>
        <v>113.33333333333333</v>
      </c>
      <c r="Q5" s="7">
        <f>STDEV(M9:M11)</f>
        <v>170.97758137642879</v>
      </c>
      <c r="R5" s="49">
        <v>4.783950617283951</v>
      </c>
      <c r="S5" s="21">
        <f>TTEST(M3:M5,M9:M11,2,2)</f>
        <v>0.14006883761335037</v>
      </c>
      <c r="T5" s="13">
        <f>IF(P5/$P$3&gt;=1,P5/$P$3,-$P$3/P5)</f>
        <v>-60.176470588235297</v>
      </c>
    </row>
    <row r="6" spans="1:22" x14ac:dyDescent="0.35">
      <c r="A6" s="79" t="s">
        <v>105</v>
      </c>
      <c r="B6" s="10" t="s">
        <v>39</v>
      </c>
      <c r="C6" s="51">
        <v>0</v>
      </c>
      <c r="D6" s="51"/>
      <c r="E6" s="54"/>
      <c r="F6" s="54"/>
      <c r="G6" s="51">
        <v>0</v>
      </c>
      <c r="H6" s="51"/>
      <c r="I6" s="54"/>
      <c r="J6" s="54"/>
      <c r="K6" s="51">
        <v>1</v>
      </c>
      <c r="L6" s="50">
        <f>AVERAGE(C6,G6)</f>
        <v>0</v>
      </c>
      <c r="M6" s="7">
        <f t="shared" si="0"/>
        <v>0</v>
      </c>
      <c r="N6" s="14"/>
      <c r="O6" s="42" t="s">
        <v>104</v>
      </c>
      <c r="P6" s="7">
        <f>AVERAGE(M12:M14)</f>
        <v>6.666666666666667</v>
      </c>
      <c r="Q6" s="7">
        <f>STDEV(M12:M14)</f>
        <v>11.547005383792515</v>
      </c>
      <c r="R6" s="49">
        <v>1.8209876543209877</v>
      </c>
      <c r="S6" s="21">
        <f>TTEST(M3:M5,M12:M14,2,2)</f>
        <v>0.1353002382775447</v>
      </c>
      <c r="T6" s="13">
        <f>IF(P6/$P$3&gt;=1,P6/$P$3,-$P$3/P6)</f>
        <v>-1023</v>
      </c>
      <c r="V6" s="14"/>
    </row>
    <row r="7" spans="1:22" ht="15" customHeight="1" x14ac:dyDescent="0.35">
      <c r="A7" s="79"/>
      <c r="B7" s="10" t="s">
        <v>40</v>
      </c>
      <c r="C7" s="51">
        <v>0</v>
      </c>
      <c r="D7" s="51"/>
      <c r="E7" s="54"/>
      <c r="F7" s="54"/>
      <c r="G7" s="51">
        <v>0</v>
      </c>
      <c r="H7" s="51"/>
      <c r="I7" s="54"/>
      <c r="J7" s="54"/>
      <c r="K7" s="51">
        <v>1</v>
      </c>
      <c r="L7" s="50">
        <f t="shared" ref="L7:L8" si="1">AVERAGE(C7,G7)</f>
        <v>0</v>
      </c>
      <c r="M7" s="7">
        <f t="shared" si="0"/>
        <v>0</v>
      </c>
      <c r="N7" s="14"/>
    </row>
    <row r="8" spans="1:22" ht="15" customHeight="1" x14ac:dyDescent="0.35">
      <c r="A8" s="79"/>
      <c r="B8" s="10" t="s">
        <v>64</v>
      </c>
      <c r="C8" s="51">
        <v>0</v>
      </c>
      <c r="D8" s="51"/>
      <c r="E8" s="54"/>
      <c r="F8" s="54"/>
      <c r="G8" s="51">
        <v>0</v>
      </c>
      <c r="H8" s="51"/>
      <c r="I8" s="54"/>
      <c r="J8" s="54"/>
      <c r="K8" s="51">
        <v>1</v>
      </c>
      <c r="L8" s="50">
        <f t="shared" si="1"/>
        <v>0</v>
      </c>
      <c r="M8" s="7">
        <f t="shared" si="0"/>
        <v>0</v>
      </c>
      <c r="N8" s="14"/>
    </row>
    <row r="9" spans="1:22" ht="15" customHeight="1" x14ac:dyDescent="0.35">
      <c r="A9" s="79" t="s">
        <v>106</v>
      </c>
      <c r="B9" s="10" t="s">
        <v>41</v>
      </c>
      <c r="C9" s="57">
        <v>19</v>
      </c>
      <c r="D9" s="57"/>
      <c r="E9" s="57"/>
      <c r="F9" s="57"/>
      <c r="G9" s="55">
        <v>12</v>
      </c>
      <c r="H9" s="57"/>
      <c r="I9" s="57"/>
      <c r="J9" s="57"/>
      <c r="K9" s="51">
        <v>1</v>
      </c>
      <c r="L9" s="50">
        <f>AVERAGE(C9,G9)</f>
        <v>15.5</v>
      </c>
      <c r="M9" s="7">
        <f t="shared" si="0"/>
        <v>310</v>
      </c>
      <c r="N9" s="14"/>
    </row>
    <row r="10" spans="1:22" x14ac:dyDescent="0.35">
      <c r="A10" s="79"/>
      <c r="B10" s="10" t="s">
        <v>42</v>
      </c>
      <c r="C10" s="57">
        <v>0</v>
      </c>
      <c r="D10" s="57"/>
      <c r="E10" s="57"/>
      <c r="F10" s="57"/>
      <c r="G10" s="57">
        <v>0</v>
      </c>
      <c r="H10" s="57"/>
      <c r="I10" s="57"/>
      <c r="J10" s="57"/>
      <c r="K10" s="51">
        <v>1</v>
      </c>
      <c r="L10" s="50">
        <f t="shared" ref="L10:L11" si="2">AVERAGE(C10,G10)</f>
        <v>0</v>
      </c>
      <c r="M10" s="7">
        <f t="shared" si="0"/>
        <v>0</v>
      </c>
      <c r="N10" s="14"/>
    </row>
    <row r="11" spans="1:22" ht="15" customHeight="1" x14ac:dyDescent="0.35">
      <c r="A11" s="79"/>
      <c r="B11" s="10" t="s">
        <v>62</v>
      </c>
      <c r="C11" s="57">
        <v>1</v>
      </c>
      <c r="D11" s="57"/>
      <c r="E11" s="57"/>
      <c r="F11" s="57"/>
      <c r="G11" s="57">
        <v>2</v>
      </c>
      <c r="H11" s="57"/>
      <c r="I11" s="57"/>
      <c r="J11" s="57"/>
      <c r="K11" s="51">
        <v>1</v>
      </c>
      <c r="L11" s="50">
        <f t="shared" si="2"/>
        <v>1.5</v>
      </c>
      <c r="M11" s="7">
        <f t="shared" si="0"/>
        <v>30</v>
      </c>
      <c r="N11" s="14"/>
    </row>
    <row r="12" spans="1:22" ht="16" customHeight="1" x14ac:dyDescent="0.35">
      <c r="A12" s="79" t="s">
        <v>112</v>
      </c>
      <c r="B12" s="10" t="s">
        <v>43</v>
      </c>
      <c r="C12" s="57"/>
      <c r="D12" s="57"/>
      <c r="E12" s="57"/>
      <c r="F12" s="57">
        <v>1</v>
      </c>
      <c r="G12" s="55"/>
      <c r="H12" s="57"/>
      <c r="I12" s="57"/>
      <c r="J12" s="57">
        <v>0</v>
      </c>
      <c r="K12" s="51">
        <v>0.1</v>
      </c>
      <c r="L12" s="48">
        <f>AVERAGE(F12,J12)</f>
        <v>0.5</v>
      </c>
      <c r="M12" s="7">
        <f>(L12/(0.05*K12))*0.2</f>
        <v>20</v>
      </c>
      <c r="N12" s="14"/>
    </row>
    <row r="13" spans="1:22" ht="15" customHeight="1" x14ac:dyDescent="0.35">
      <c r="A13" s="79"/>
      <c r="B13" s="10" t="s">
        <v>44</v>
      </c>
      <c r="C13" s="57"/>
      <c r="D13" s="57"/>
      <c r="E13" s="57"/>
      <c r="F13" s="57">
        <v>0</v>
      </c>
      <c r="G13" s="57"/>
      <c r="H13" s="57"/>
      <c r="I13" s="57"/>
      <c r="J13" s="57">
        <v>0</v>
      </c>
      <c r="K13" s="51">
        <v>0.1</v>
      </c>
      <c r="L13" s="48">
        <f t="shared" ref="L13:L14" si="3">AVERAGE(F13,J13)</f>
        <v>0</v>
      </c>
      <c r="M13" s="7">
        <f t="shared" ref="M13:M14" si="4">(L13/(0.05*K13))*0.2</f>
        <v>0</v>
      </c>
      <c r="N13" s="14"/>
    </row>
    <row r="14" spans="1:22" x14ac:dyDescent="0.35">
      <c r="A14" s="79"/>
      <c r="B14" s="10" t="s">
        <v>63</v>
      </c>
      <c r="C14" s="57"/>
      <c r="D14" s="57"/>
      <c r="E14" s="57"/>
      <c r="F14" s="57">
        <v>0</v>
      </c>
      <c r="G14" s="57"/>
      <c r="H14" s="57"/>
      <c r="I14" s="57"/>
      <c r="J14" s="57">
        <v>0</v>
      </c>
      <c r="K14" s="51">
        <v>0.1</v>
      </c>
      <c r="L14" s="48">
        <f t="shared" si="3"/>
        <v>0</v>
      </c>
      <c r="M14" s="7">
        <f t="shared" si="4"/>
        <v>0</v>
      </c>
      <c r="N14" s="14"/>
    </row>
    <row r="15" spans="1:22" x14ac:dyDescent="0.35">
      <c r="A15" s="33" t="s">
        <v>65</v>
      </c>
      <c r="B15" s="10"/>
      <c r="C15" s="51">
        <v>0</v>
      </c>
      <c r="D15" s="51" t="s">
        <v>37</v>
      </c>
      <c r="E15" s="51" t="s">
        <v>37</v>
      </c>
      <c r="F15" s="51" t="s">
        <v>37</v>
      </c>
      <c r="G15" s="51" t="s">
        <v>37</v>
      </c>
      <c r="H15" s="51" t="s">
        <v>37</v>
      </c>
      <c r="I15" s="51" t="s">
        <v>37</v>
      </c>
      <c r="J15" s="51" t="s">
        <v>37</v>
      </c>
      <c r="K15" s="51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66</v>
      </c>
      <c r="B16" s="10"/>
      <c r="C16" s="51">
        <v>0</v>
      </c>
      <c r="D16" s="51" t="s">
        <v>37</v>
      </c>
      <c r="E16" s="51" t="s">
        <v>37</v>
      </c>
      <c r="F16" s="51" t="s">
        <v>37</v>
      </c>
      <c r="G16" s="51" t="s">
        <v>37</v>
      </c>
      <c r="H16" s="51" t="s">
        <v>37</v>
      </c>
      <c r="I16" s="51" t="s">
        <v>37</v>
      </c>
      <c r="J16" s="51" t="s">
        <v>37</v>
      </c>
      <c r="K16" s="51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81" t="s">
        <v>68</v>
      </c>
      <c r="B18" s="81"/>
      <c r="C18" s="81"/>
    </row>
    <row r="19" spans="1:14" x14ac:dyDescent="0.35">
      <c r="A19" s="81" t="s">
        <v>58</v>
      </c>
      <c r="B19" s="81"/>
      <c r="C19" s="81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8:C18"/>
    <mergeCell ref="A19:C19"/>
    <mergeCell ref="C1:E1"/>
    <mergeCell ref="G1:I1"/>
    <mergeCell ref="A3:A5"/>
    <mergeCell ref="A6:A8"/>
    <mergeCell ref="A9:A11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N5"/>
  <sheetViews>
    <sheetView workbookViewId="0">
      <selection activeCell="K5" sqref="K5"/>
    </sheetView>
  </sheetViews>
  <sheetFormatPr defaultColWidth="8.83203125" defaultRowHeight="15.5" x14ac:dyDescent="0.35"/>
  <cols>
    <col min="1" max="1" width="17.5" customWidth="1"/>
    <col min="2" max="2" width="10.25" bestFit="1" customWidth="1"/>
    <col min="9" max="9" width="12.4140625" customWidth="1"/>
    <col min="10" max="10" width="4" hidden="1" customWidth="1"/>
    <col min="11" max="11" width="15.9140625" customWidth="1"/>
    <col min="13" max="13" width="9.25" bestFit="1" customWidth="1"/>
  </cols>
  <sheetData>
    <row r="1" spans="1:14" x14ac:dyDescent="0.35">
      <c r="B1" s="7" t="s">
        <v>115</v>
      </c>
      <c r="C1" s="7" t="s">
        <v>52</v>
      </c>
      <c r="D1" s="1" t="s">
        <v>109</v>
      </c>
      <c r="E1" s="1" t="s">
        <v>52</v>
      </c>
      <c r="F1" s="1" t="s">
        <v>100</v>
      </c>
      <c r="G1" s="1" t="s">
        <v>52</v>
      </c>
      <c r="H1" s="1" t="s">
        <v>110</v>
      </c>
      <c r="I1" s="1" t="s">
        <v>52</v>
      </c>
      <c r="J1" s="65"/>
      <c r="K1" s="66"/>
      <c r="L1" s="67"/>
      <c r="M1" s="67"/>
    </row>
    <row r="2" spans="1:14" x14ac:dyDescent="0.35">
      <c r="A2" s="63" t="s">
        <v>103</v>
      </c>
      <c r="B2" s="7">
        <v>5.333333333333333</v>
      </c>
      <c r="C2" s="7">
        <v>3.0550504633038935</v>
      </c>
      <c r="D2" s="1">
        <v>863.33333333333337</v>
      </c>
      <c r="E2" s="1">
        <v>11.547005383792516</v>
      </c>
      <c r="F2" s="1">
        <v>4700</v>
      </c>
      <c r="G2" s="7">
        <v>2835.4893757515651</v>
      </c>
      <c r="H2" s="7">
        <v>6820</v>
      </c>
      <c r="I2" s="7">
        <v>6320.8543726303333</v>
      </c>
      <c r="J2" s="65"/>
      <c r="K2" s="67"/>
      <c r="L2" s="67"/>
      <c r="M2" s="68"/>
    </row>
    <row r="3" spans="1:14" x14ac:dyDescent="0.35">
      <c r="A3" s="64" t="s">
        <v>105</v>
      </c>
      <c r="B3" s="7">
        <v>2.6666666666666665</v>
      </c>
      <c r="C3" s="7">
        <v>1.1547005383792517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65"/>
      <c r="K3" s="69"/>
      <c r="L3" s="67"/>
      <c r="M3" s="70"/>
    </row>
    <row r="4" spans="1:14" ht="20" customHeight="1" x14ac:dyDescent="0.35">
      <c r="A4" s="64" t="s">
        <v>106</v>
      </c>
      <c r="B4" s="7">
        <v>3</v>
      </c>
      <c r="C4" s="7">
        <v>4.2426406871192848</v>
      </c>
      <c r="D4" s="1">
        <v>20</v>
      </c>
      <c r="E4" s="1">
        <v>26.457513110645905</v>
      </c>
      <c r="F4" s="1">
        <v>33.333333333333336</v>
      </c>
      <c r="G4" s="1">
        <v>41.633319989322651</v>
      </c>
      <c r="H4" s="1">
        <v>113.33333333333333</v>
      </c>
      <c r="I4" s="1">
        <v>170.97758137642879</v>
      </c>
      <c r="J4" s="65"/>
      <c r="K4" s="69"/>
      <c r="L4" s="67"/>
      <c r="M4" s="70"/>
      <c r="N4" s="60"/>
    </row>
    <row r="5" spans="1:14" x14ac:dyDescent="0.35">
      <c r="A5" s="64" t="s">
        <v>104</v>
      </c>
      <c r="B5" s="1">
        <v>2.6666666666666665</v>
      </c>
      <c r="C5" s="7">
        <v>1.4142135623730951</v>
      </c>
      <c r="D5" s="1">
        <v>0</v>
      </c>
      <c r="E5" s="7">
        <v>0</v>
      </c>
      <c r="F5" s="1">
        <v>0</v>
      </c>
      <c r="G5" s="7">
        <v>0</v>
      </c>
      <c r="H5" s="1">
        <v>6.666666666666667</v>
      </c>
      <c r="I5" s="7">
        <v>11.547005383792515</v>
      </c>
      <c r="J5" s="65"/>
      <c r="K5" s="69"/>
      <c r="L5" s="67"/>
      <c r="M5" s="70"/>
      <c r="N5" s="6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ExperimentalSetup</vt:lpstr>
      <vt:lpstr>Plate Needs</vt:lpstr>
      <vt:lpstr>Inoculum Setup</vt:lpstr>
      <vt:lpstr>Inoculum</vt:lpstr>
      <vt:lpstr>T=2</vt:lpstr>
      <vt:lpstr>T=22</vt:lpstr>
      <vt:lpstr>T=24</vt:lpstr>
      <vt:lpstr>T=26</vt:lpstr>
      <vt:lpstr>22 vs 24 vs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</cp:lastModifiedBy>
  <cp:lastPrinted>2019-03-13T17:50:00Z</cp:lastPrinted>
  <dcterms:created xsi:type="dcterms:W3CDTF">2016-02-15T21:32:37Z</dcterms:created>
  <dcterms:modified xsi:type="dcterms:W3CDTF">2019-11-03T17:43:29Z</dcterms:modified>
</cp:coreProperties>
</file>