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Macrophage/"/>
    </mc:Choice>
  </mc:AlternateContent>
  <xr:revisionPtr revIDLastSave="0" documentId="13_ncr:1_{AA7DAF82-9311-FA4C-BFFB-FD91B80D2368}" xr6:coauthVersionLast="46" xr6:coauthVersionMax="46" xr10:uidLastSave="{00000000-0000-0000-0000-000000000000}"/>
  <bookViews>
    <workbookView xWindow="2040" yWindow="500" windowWidth="26260" windowHeight="15920" xr2:uid="{205ACA2F-8ED2-DB48-97DD-6C35F8214E47}"/>
  </bookViews>
  <sheets>
    <sheet name="PlateSetup" sheetId="6" r:id="rId1"/>
    <sheet name="PlatePlanning" sheetId="1" r:id="rId2"/>
    <sheet name="BacteriaCalcs" sheetId="2" r:id="rId3"/>
    <sheet name="Inoculum" sheetId="3" r:id="rId4"/>
    <sheet name="T=2" sheetId="4" r:id="rId5"/>
    <sheet name="T=24" sheetId="5" r:id="rId6"/>
    <sheet name="SDS vs saponin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6" i="6" l="1"/>
  <c r="Q34" i="6"/>
  <c r="P35" i="6"/>
  <c r="P37" i="6"/>
  <c r="Q24" i="6"/>
  <c r="Q22" i="6"/>
  <c r="Q20" i="6"/>
  <c r="R5" i="6"/>
  <c r="R4" i="6"/>
  <c r="Q7" i="6"/>
  <c r="Q5" i="6"/>
  <c r="R10" i="5" l="1"/>
  <c r="AM10" i="5" s="1"/>
  <c r="B36" i="10" l="1"/>
  <c r="B43" i="10" s="1"/>
  <c r="C36" i="10"/>
  <c r="C43" i="10" s="1"/>
  <c r="D36" i="10"/>
  <c r="E36" i="10"/>
  <c r="B37" i="10"/>
  <c r="B44" i="10" s="1"/>
  <c r="C37" i="10"/>
  <c r="C44" i="10" s="1"/>
  <c r="D37" i="10"/>
  <c r="E37" i="10"/>
  <c r="B38" i="10"/>
  <c r="B45" i="10" s="1"/>
  <c r="C38" i="10"/>
  <c r="C45" i="10" s="1"/>
  <c r="D38" i="10"/>
  <c r="E38" i="10"/>
  <c r="B39" i="10"/>
  <c r="B46" i="10" s="1"/>
  <c r="C39" i="10"/>
  <c r="C46" i="10" s="1"/>
  <c r="D39" i="10"/>
  <c r="E39" i="10"/>
  <c r="B40" i="10"/>
  <c r="B47" i="10" s="1"/>
  <c r="C40" i="10"/>
  <c r="C47" i="10" s="1"/>
  <c r="D40" i="10"/>
  <c r="E40" i="10"/>
  <c r="C35" i="10"/>
  <c r="C42" i="10" s="1"/>
  <c r="D35" i="10"/>
  <c r="E35" i="10"/>
  <c r="B35" i="10"/>
  <c r="B42" i="10" s="1"/>
  <c r="C12" i="10"/>
  <c r="C20" i="10" s="1"/>
  <c r="D12" i="10"/>
  <c r="E12" i="10"/>
  <c r="C13" i="10"/>
  <c r="C21" i="10" s="1"/>
  <c r="D13" i="10"/>
  <c r="E13" i="10"/>
  <c r="C14" i="10"/>
  <c r="C22" i="10" s="1"/>
  <c r="D14" i="10"/>
  <c r="E14" i="10"/>
  <c r="B15" i="10"/>
  <c r="B23" i="10" s="1"/>
  <c r="C15" i="10"/>
  <c r="D15" i="10"/>
  <c r="E15" i="10"/>
  <c r="B16" i="10"/>
  <c r="C16" i="10"/>
  <c r="C24" i="10" s="1"/>
  <c r="D16" i="10"/>
  <c r="E16" i="10"/>
  <c r="C11" i="10"/>
  <c r="D11" i="10"/>
  <c r="E11" i="10"/>
  <c r="B24" i="10" l="1"/>
  <c r="C23" i="10"/>
  <c r="C19" i="10"/>
  <c r="X40" i="5"/>
  <c r="W40" i="5"/>
  <c r="W39" i="5"/>
  <c r="V40" i="5"/>
  <c r="U40" i="5"/>
  <c r="T40" i="5"/>
  <c r="S40" i="5"/>
  <c r="R40" i="5"/>
  <c r="N26" i="5"/>
  <c r="U9" i="5"/>
  <c r="U10" i="5"/>
  <c r="U8" i="5"/>
  <c r="U7" i="5"/>
  <c r="U6" i="5"/>
  <c r="U5" i="5"/>
  <c r="S10" i="5"/>
  <c r="AN5" i="5"/>
  <c r="AN6" i="5"/>
  <c r="AN7" i="5"/>
  <c r="AN8" i="5"/>
  <c r="AN9" i="5"/>
  <c r="AN3" i="5"/>
  <c r="AM4" i="5"/>
  <c r="AM5" i="5"/>
  <c r="AM6" i="5"/>
  <c r="AM7" i="5"/>
  <c r="AM8" i="5"/>
  <c r="AM9" i="5"/>
  <c r="AM3" i="5"/>
  <c r="M26" i="5"/>
  <c r="M25" i="5"/>
  <c r="M24" i="5"/>
  <c r="M23" i="5"/>
  <c r="M22" i="5"/>
  <c r="M21" i="5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V38" i="5" s="1"/>
  <c r="M14" i="5"/>
  <c r="M13" i="5"/>
  <c r="M12" i="5"/>
  <c r="N9" i="5"/>
  <c r="M11" i="5"/>
  <c r="N11" i="5" s="1"/>
  <c r="M10" i="5"/>
  <c r="N10" i="5" s="1"/>
  <c r="M9" i="5"/>
  <c r="M4" i="5"/>
  <c r="M5" i="5"/>
  <c r="M3" i="5"/>
  <c r="AN10" i="5" l="1"/>
  <c r="S5" i="5"/>
  <c r="R7" i="5"/>
  <c r="S7" i="5"/>
  <c r="T37" i="5"/>
  <c r="R8" i="5"/>
  <c r="S8" i="5"/>
  <c r="T38" i="5"/>
  <c r="R5" i="5"/>
  <c r="H3" i="4"/>
  <c r="R9" i="4"/>
  <c r="R10" i="4"/>
  <c r="R8" i="4"/>
  <c r="R7" i="4"/>
  <c r="R6" i="4"/>
  <c r="R5" i="4"/>
  <c r="R4" i="4"/>
  <c r="R3" i="4"/>
  <c r="Q10" i="4"/>
  <c r="Q9" i="4"/>
  <c r="Q8" i="4"/>
  <c r="Q7" i="4"/>
  <c r="Q6" i="4"/>
  <c r="Q5" i="4"/>
  <c r="Q4" i="4"/>
  <c r="I24" i="4"/>
  <c r="I21" i="4"/>
  <c r="I18" i="4"/>
  <c r="I15" i="4"/>
  <c r="I12" i="4"/>
  <c r="I9" i="4"/>
  <c r="I6" i="4"/>
  <c r="I3" i="4"/>
  <c r="O10" i="4"/>
  <c r="O9" i="4"/>
  <c r="O8" i="4"/>
  <c r="O7" i="4"/>
  <c r="O6" i="4"/>
  <c r="O5" i="4"/>
  <c r="O4" i="4"/>
  <c r="O3" i="4"/>
  <c r="N10" i="4"/>
  <c r="N9" i="4"/>
  <c r="N8" i="4"/>
  <c r="N7" i="4"/>
  <c r="N6" i="4"/>
  <c r="N5" i="4"/>
  <c r="N4" i="4"/>
  <c r="N3" i="4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W8" i="5" l="1"/>
  <c r="W7" i="5"/>
  <c r="W5" i="5"/>
  <c r="H15" i="4"/>
  <c r="L3" i="3"/>
  <c r="G11" i="2" l="1"/>
  <c r="G12" i="2"/>
  <c r="G13" i="2"/>
  <c r="E11" i="2"/>
  <c r="E12" i="2"/>
  <c r="E13" i="2"/>
  <c r="E10" i="2"/>
  <c r="D11" i="2"/>
  <c r="D12" i="2"/>
  <c r="D13" i="2"/>
  <c r="D10" i="2" l="1"/>
  <c r="G10" i="2"/>
  <c r="P12" i="6"/>
  <c r="P9" i="6"/>
  <c r="C10" i="1" l="1"/>
  <c r="B10" i="1" l="1"/>
  <c r="C11" i="1"/>
  <c r="J18" i="6"/>
  <c r="K18" i="6" s="1"/>
  <c r="K19" i="6" s="1"/>
  <c r="H18" i="6"/>
  <c r="P7" i="6"/>
  <c r="P10" i="6" s="1"/>
  <c r="P11" i="6" s="1"/>
  <c r="J19" i="6" l="1"/>
  <c r="L19" i="6" s="1"/>
  <c r="N3" i="5"/>
  <c r="G4" i="3" l="1"/>
  <c r="G5" i="3"/>
  <c r="G6" i="3"/>
  <c r="G7" i="3"/>
  <c r="G8" i="3"/>
  <c r="G9" i="3"/>
  <c r="G10" i="3"/>
  <c r="G3" i="3"/>
  <c r="N22" i="5" l="1"/>
  <c r="N21" i="5"/>
  <c r="N23" i="5"/>
  <c r="N5" i="5"/>
  <c r="N4" i="5"/>
  <c r="R38" i="5" l="1"/>
  <c r="R35" i="5"/>
  <c r="R3" i="5"/>
  <c r="R37" i="5"/>
  <c r="S3" i="5"/>
  <c r="S9" i="5"/>
  <c r="R9" i="5"/>
  <c r="V39" i="5"/>
  <c r="T39" i="5"/>
  <c r="R39" i="5"/>
  <c r="W3" i="5" l="1"/>
  <c r="V3" i="5"/>
  <c r="V8" i="5"/>
  <c r="V5" i="5"/>
  <c r="V7" i="5"/>
  <c r="W9" i="5"/>
  <c r="V9" i="5"/>
  <c r="AO3" i="5"/>
  <c r="AA6" i="6"/>
  <c r="AA7" i="6" s="1"/>
  <c r="AA8" i="6" s="1"/>
  <c r="AA17" i="6"/>
  <c r="AA18" i="6" s="1"/>
  <c r="AA19" i="6" s="1"/>
  <c r="P13" i="6" l="1"/>
  <c r="P20" i="6" s="1"/>
  <c r="P22" i="6" l="1"/>
  <c r="M8" i="5"/>
  <c r="N8" i="5" s="1"/>
  <c r="M7" i="5"/>
  <c r="N7" i="5" s="1"/>
  <c r="M6" i="5"/>
  <c r="N6" i="5" s="1"/>
  <c r="S39" i="5" l="1"/>
  <c r="S4" i="5"/>
  <c r="R4" i="5"/>
  <c r="S38" i="5"/>
  <c r="S37" i="5"/>
  <c r="S35" i="5"/>
  <c r="U4" i="5"/>
  <c r="R34" i="5"/>
  <c r="P24" i="6"/>
  <c r="P26" i="6" s="1"/>
  <c r="N13" i="5"/>
  <c r="S36" i="5" s="1"/>
  <c r="N25" i="5"/>
  <c r="N24" i="5"/>
  <c r="N14" i="5"/>
  <c r="N12" i="5"/>
  <c r="G14" i="4"/>
  <c r="H14" i="4" s="1"/>
  <c r="G13" i="4"/>
  <c r="H13" i="4" s="1"/>
  <c r="G12" i="4"/>
  <c r="H12" i="4" s="1"/>
  <c r="H9" i="3"/>
  <c r="J9" i="3" s="1"/>
  <c r="L9" i="3" s="1"/>
  <c r="I5" i="3"/>
  <c r="K5" i="3" s="1"/>
  <c r="C15" i="3" s="1"/>
  <c r="I27" i="5"/>
  <c r="J27" i="5" s="1"/>
  <c r="E27" i="5"/>
  <c r="F27" i="5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D11" i="3"/>
  <c r="E11" i="3" s="1"/>
  <c r="V4" i="5" l="1"/>
  <c r="W4" i="5"/>
  <c r="U39" i="5"/>
  <c r="U38" i="5"/>
  <c r="U37" i="5"/>
  <c r="S6" i="5"/>
  <c r="R6" i="5"/>
  <c r="T36" i="5"/>
  <c r="R36" i="5"/>
  <c r="B17" i="3"/>
  <c r="I3" i="3"/>
  <c r="K3" i="3" s="1"/>
  <c r="C14" i="3" s="1"/>
  <c r="I9" i="3"/>
  <c r="K9" i="3" s="1"/>
  <c r="C17" i="3" s="1"/>
  <c r="H7" i="3"/>
  <c r="J7" i="3" s="1"/>
  <c r="L7" i="3" s="1"/>
  <c r="I7" i="3"/>
  <c r="K7" i="3" s="1"/>
  <c r="C16" i="3" s="1"/>
  <c r="H5" i="3"/>
  <c r="J5" i="3" s="1"/>
  <c r="L5" i="3" s="1"/>
  <c r="H3" i="3"/>
  <c r="J3" i="3" s="1"/>
  <c r="W10" i="5" l="1"/>
  <c r="V10" i="5"/>
  <c r="V6" i="5"/>
  <c r="W6" i="5"/>
  <c r="B14" i="3"/>
  <c r="AN4" i="5"/>
  <c r="B16" i="3"/>
  <c r="B15" i="3"/>
  <c r="B36" i="1" l="1"/>
  <c r="B37" i="1" s="1"/>
  <c r="B33" i="1"/>
  <c r="B34" i="1" s="1"/>
  <c r="W31" i="1"/>
  <c r="W30" i="1"/>
  <c r="W29" i="1"/>
  <c r="B11" i="1"/>
  <c r="B12" i="1" l="1"/>
</calcChain>
</file>

<file path=xl/sharedStrings.xml><?xml version="1.0" encoding="utf-8"?>
<sst xmlns="http://schemas.openxmlformats.org/spreadsheetml/2006/main" count="444" uniqueCount="166">
  <si>
    <t xml:space="preserve"> </t>
  </si>
  <si>
    <t>Macrophage Calculations</t>
  </si>
  <si>
    <t>A</t>
  </si>
  <si>
    <t>LVS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</si>
  <si>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</si>
  <si>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</si>
  <si>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</si>
  <si>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</si>
  <si>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</si>
  <si>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</si>
  <si>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</si>
  <si>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</si>
  <si>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</si>
  <si>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</si>
  <si>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</si>
  <si>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</si>
  <si>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</si>
  <si>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</si>
  <si>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</si>
  <si>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</si>
  <si>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Number of plates</t>
  </si>
  <si>
    <t>Use</t>
  </si>
  <si>
    <t>Round</t>
  </si>
  <si>
    <t>Square</t>
  </si>
  <si>
    <t>Notes</t>
  </si>
  <si>
    <t>Patch strains for infections</t>
  </si>
  <si>
    <t>Plate inoculumns</t>
  </si>
  <si>
    <t>Bacterial Calculations</t>
  </si>
  <si>
    <t>Actual</t>
  </si>
  <si>
    <t>Timepoint 2 hours</t>
  </si>
  <si>
    <t>MOI</t>
  </si>
  <si>
    <t>Timepoint 24 hours</t>
  </si>
  <si>
    <t>Macrophage cells per well</t>
  </si>
  <si>
    <t>Total plates</t>
  </si>
  <si>
    <t>Volume bacteria to add (mL)</t>
  </si>
  <si>
    <t>Flasks of 600 mL CHA</t>
  </si>
  <si>
    <t>Round plates: 24 mL, 25 per flask; Square plates: 30 mL, 20 per flask</t>
  </si>
  <si>
    <t>Bacterial density needed (cells/mL)</t>
  </si>
  <si>
    <t>Total number of CHA flasks</t>
  </si>
  <si>
    <t>Cells/mL per OD600</t>
  </si>
  <si>
    <t>OD needed for given density</t>
  </si>
  <si>
    <t>Resuspend to</t>
  </si>
  <si>
    <t>Final MOI 5, dilute 1:100</t>
  </si>
  <si>
    <t>For final vol 1.3 mL at 0.028</t>
  </si>
  <si>
    <t>Number</t>
  </si>
  <si>
    <t>Strain</t>
  </si>
  <si>
    <t>Resuspend cells to (OD600)</t>
  </si>
  <si>
    <t>Cells (uL)</t>
  </si>
  <si>
    <t>Media (x2, uL)</t>
  </si>
  <si>
    <t>OD600</t>
  </si>
  <si>
    <t>Volume to dilute in 1 mL (usually 1:100)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</si>
  <si>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>chaC</t>
    </r>
  </si>
  <si>
    <t>undiluted</t>
  </si>
  <si>
    <r>
      <rPr>
        <sz val="12"/>
        <color theme="1"/>
        <rFont val="Calibri"/>
        <family val="2"/>
        <scheme val="minor"/>
      </rPr>
      <t>∆</t>
    </r>
    <r>
      <rPr>
        <i/>
        <sz val="12"/>
        <color theme="1"/>
        <rFont val="Calibri"/>
        <family val="2"/>
        <scheme val="minor"/>
      </rPr>
      <t xml:space="preserve">chaC </t>
    </r>
    <r>
      <rPr>
        <sz val="12"/>
        <color theme="1"/>
        <rFont val="Calibri"/>
        <family val="2"/>
        <scheme val="minor"/>
      </rPr>
      <t>Tn7:</t>
    </r>
    <r>
      <rPr>
        <i/>
        <sz val="12"/>
        <color theme="1"/>
        <rFont val="Calibri"/>
        <family val="2"/>
        <scheme val="minor"/>
      </rPr>
      <t>chaC</t>
    </r>
  </si>
  <si>
    <t xml:space="preserve">  </t>
  </si>
  <si>
    <t>Inoculum</t>
  </si>
  <si>
    <t>Replicate</t>
  </si>
  <si>
    <t>Dilution factor counted</t>
  </si>
  <si>
    <t>Cells / mL</t>
  </si>
  <si>
    <t>Average Cells / mL</t>
  </si>
  <si>
    <t>St dev</t>
  </si>
  <si>
    <t>CFU/well</t>
  </si>
  <si>
    <t>1A</t>
  </si>
  <si>
    <t>TMTC</t>
  </si>
  <si>
    <t>1B</t>
  </si>
  <si>
    <t>2A</t>
  </si>
  <si>
    <t>2B</t>
  </si>
  <si>
    <t>3A</t>
  </si>
  <si>
    <t>3B</t>
  </si>
  <si>
    <t>Dilution Factor</t>
  </si>
  <si>
    <t>Plate</t>
  </si>
  <si>
    <t>Plate 1</t>
  </si>
  <si>
    <t>Plate 2</t>
  </si>
  <si>
    <t>Average Cells</t>
  </si>
  <si>
    <t>CFU per well</t>
  </si>
  <si>
    <t>T-test</t>
  </si>
  <si>
    <t>Average CFU per well</t>
  </si>
  <si>
    <t>St Dev</t>
  </si>
  <si>
    <t>Original MOI</t>
  </si>
  <si>
    <t>Fold Change</t>
  </si>
  <si>
    <t>1C</t>
  </si>
  <si>
    <t>2C</t>
  </si>
  <si>
    <t>3C</t>
  </si>
  <si>
    <t>-</t>
  </si>
  <si>
    <t>Track Plate 1</t>
  </si>
  <si>
    <t>Track Plate 2</t>
  </si>
  <si>
    <t>7A</t>
  </si>
  <si>
    <t>7B</t>
  </si>
  <si>
    <t>8A</t>
  </si>
  <si>
    <t>8B</t>
  </si>
  <si>
    <t>9A</t>
  </si>
  <si>
    <t>9B</t>
  </si>
  <si>
    <t>7C</t>
  </si>
  <si>
    <t>8C</t>
  </si>
  <si>
    <t>9C</t>
  </si>
  <si>
    <t>T=24</t>
  </si>
  <si>
    <t>T=2</t>
  </si>
  <si>
    <t>Bacterial Growth</t>
  </si>
  <si>
    <t>2nd measurement</t>
  </si>
  <si>
    <t>1st measurement</t>
  </si>
  <si>
    <t>Average</t>
  </si>
  <si>
    <t>Undiluted</t>
  </si>
  <si>
    <t>Density</t>
  </si>
  <si>
    <t>#</t>
  </si>
  <si>
    <t>Media (uL)</t>
  </si>
  <si>
    <t>Strain Number</t>
  </si>
  <si>
    <t>KRLVS40</t>
  </si>
  <si>
    <t>KMLFT49</t>
  </si>
  <si>
    <t>KMLFT47</t>
  </si>
  <si>
    <r>
      <t>LVS ∆</t>
    </r>
    <r>
      <rPr>
        <i/>
        <sz val="9"/>
        <color theme="1"/>
        <rFont val="Calibri"/>
        <family val="2"/>
        <scheme val="minor"/>
      </rPr>
      <t>pmrA</t>
    </r>
  </si>
  <si>
    <r>
      <t>LVS ∆</t>
    </r>
    <r>
      <rPr>
        <i/>
        <sz val="9"/>
        <color theme="1"/>
        <rFont val="Calibri"/>
        <family val="2"/>
        <scheme val="minor"/>
      </rPr>
      <t>pmrA</t>
    </r>
    <r>
      <rPr>
        <sz val="9"/>
        <color theme="1"/>
        <rFont val="Calibri"/>
        <family val="2"/>
        <scheme val="minor"/>
      </rPr>
      <t xml:space="preserve"> ∆</t>
    </r>
    <r>
      <rPr>
        <i/>
        <sz val="9"/>
        <color theme="1"/>
        <rFont val="Calibri"/>
        <family val="2"/>
        <scheme val="minor"/>
      </rPr>
      <t>priM</t>
    </r>
  </si>
  <si>
    <r>
      <t>LVS ∆</t>
    </r>
    <r>
      <rPr>
        <i/>
        <sz val="9"/>
        <color theme="1"/>
        <rFont val="Calibri"/>
        <family val="2"/>
        <scheme val="minor"/>
      </rPr>
      <t>priM</t>
    </r>
  </si>
  <si>
    <r>
      <t>∆</t>
    </r>
    <r>
      <rPr>
        <i/>
        <sz val="12"/>
        <color theme="1"/>
        <rFont val="Calibri"/>
        <family val="2"/>
        <scheme val="minor"/>
      </rPr>
      <t>priM</t>
    </r>
  </si>
  <si>
    <t>1x each</t>
  </si>
  <si>
    <t>4 strains in duplicate</t>
  </si>
  <si>
    <t>For final vol 1.3 mL at goal OD</t>
  </si>
  <si>
    <t>Goal OD:</t>
  </si>
  <si>
    <t xml:space="preserve">4 strains x 2 conditions x 3 wells </t>
  </si>
  <si>
    <t>Square: 3 strains x 2 conditions x 3 wells x 2 plates; round: 1 strain x 2 conditions x 3 wells x 2 plates</t>
  </si>
  <si>
    <t>Volume to dilute in 1.5 mL (usually 1:100)</t>
  </si>
  <si>
    <t>LVS ∆pmrA</t>
  </si>
  <si>
    <t>LVS ∆pmrA ∆priM</t>
  </si>
  <si>
    <t>LVS ∆priM</t>
  </si>
  <si>
    <t>4A</t>
  </si>
  <si>
    <t>4B</t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</si>
  <si>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</si>
  <si>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 xml:space="preserve">pmrA </t>
    </r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priM</t>
    </r>
  </si>
  <si>
    <r>
      <rPr>
        <b/>
        <sz val="12"/>
        <color theme="1"/>
        <rFont val="Calibri"/>
        <family val="2"/>
        <scheme val="minor"/>
      </rPr>
      <t>∆</t>
    </r>
    <r>
      <rPr>
        <b/>
        <i/>
        <sz val="12"/>
        <color theme="1"/>
        <rFont val="Calibri"/>
        <family val="2"/>
        <scheme val="minor"/>
      </rPr>
      <t>priM</t>
    </r>
  </si>
  <si>
    <t>MOI (based on # of seeded macrophage)</t>
  </si>
  <si>
    <r>
      <t>LVS ∆</t>
    </r>
    <r>
      <rPr>
        <i/>
        <sz val="12"/>
        <color theme="1"/>
        <rFont val="Calibri"/>
        <family val="2"/>
        <scheme val="minor"/>
      </rPr>
      <t>pmrA</t>
    </r>
  </si>
  <si>
    <r>
      <t>LVS 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>priM</t>
    </r>
  </si>
  <si>
    <r>
      <t>LVS ∆</t>
    </r>
    <r>
      <rPr>
        <i/>
        <sz val="12"/>
        <color theme="1"/>
        <rFont val="Calibri"/>
        <family val="2"/>
        <scheme val="minor"/>
      </rPr>
      <t>priM</t>
    </r>
  </si>
  <si>
    <t>60 ul cells plated</t>
  </si>
  <si>
    <t>Saponin or SDS</t>
  </si>
  <si>
    <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</si>
  <si>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t>∆</t>
    </r>
    <r>
      <rPr>
        <b/>
        <i/>
        <sz val="12"/>
        <color theme="1"/>
        <rFont val="Calibri"/>
        <family val="2"/>
        <scheme val="minor"/>
      </rPr>
      <t>priM</t>
    </r>
  </si>
  <si>
    <t>4C</t>
  </si>
  <si>
    <t>Saponin</t>
  </si>
  <si>
    <t>SDS</t>
  </si>
  <si>
    <r>
      <t>∆</t>
    </r>
    <r>
      <rPr>
        <i/>
        <sz val="12"/>
        <color theme="1"/>
        <rFont val="Calibri"/>
        <family val="2"/>
        <scheme val="minor"/>
      </rPr>
      <t>pmrA</t>
    </r>
    <r>
      <rPr>
        <sz val="12"/>
        <color theme="1"/>
        <rFont val="Calibri"/>
        <family val="2"/>
        <scheme val="minor"/>
      </rPr>
      <t xml:space="preserve"> ∆</t>
    </r>
    <r>
      <rPr>
        <i/>
        <sz val="12"/>
        <color theme="1"/>
        <rFont val="Calibri"/>
        <family val="2"/>
        <scheme val="minor"/>
      </rPr>
      <t xml:space="preserve">priM </t>
    </r>
  </si>
  <si>
    <t>∆pmrA</t>
  </si>
  <si>
    <t>saponin</t>
  </si>
  <si>
    <t>∆pmrA*</t>
  </si>
  <si>
    <t>∆pmrA ∆priM</t>
  </si>
  <si>
    <t>∆priM</t>
  </si>
  <si>
    <t>*Plated 60 ul on circular plate</t>
  </si>
  <si>
    <t>9 (+)</t>
  </si>
  <si>
    <t>T-test (vs LVS saponin)</t>
  </si>
  <si>
    <t>Fold Change (vs  LVS saponin)</t>
  </si>
  <si>
    <t>Fold Change (vs LVS SDS)</t>
  </si>
  <si>
    <t xml:space="preserve">∆pmrA ∆priM </t>
  </si>
  <si>
    <t>LVS comparison</t>
  </si>
  <si>
    <t>2 to 3</t>
  </si>
  <si>
    <t>1 to 2</t>
  </si>
  <si>
    <t>∆pmrA ∆priM comparison</t>
  </si>
  <si>
    <t>96 well</t>
  </si>
  <si>
    <t>12 well</t>
  </si>
  <si>
    <t>Surface area (cm^2)</t>
  </si>
  <si>
    <t>ratio</t>
  </si>
  <si>
    <t>∆pmrA∆priM</t>
  </si>
  <si>
    <t>∆pigR</t>
  </si>
  <si>
    <t>Testing:</t>
  </si>
  <si>
    <t>2 hours</t>
  </si>
  <si>
    <t>24 hours</t>
  </si>
  <si>
    <t>fold replication</t>
  </si>
  <si>
    <t>percent of inocolum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</si>
</sst>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1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2" fontId="0" fillId="0" borderId="1" xfId="0" applyNumberFormat="1" applyBorder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11" fontId="0" fillId="0" borderId="0" xfId="0" applyNumberFormat="1" applyBorder="1"/>
    <xf numFmtId="164" fontId="0" fillId="0" borderId="0" xfId="0" applyNumberFormat="1" applyBorder="1"/>
    <xf numFmtId="0" fontId="1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166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11" fontId="0" fillId="2" borderId="1" xfId="0" applyNumberFormat="1" applyFill="1" applyBorder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9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2" fontId="0" fillId="0" borderId="1" xfId="0" applyNumberFormat="1" applyFill="1" applyBorder="1"/>
    <xf numFmtId="0" fontId="0" fillId="0" borderId="13" xfId="0" applyBorder="1"/>
    <xf numFmtId="0" fontId="0" fillId="0" borderId="14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6" xfId="0" applyFont="1" applyBorder="1"/>
    <xf numFmtId="0" fontId="3" fillId="3" borderId="6" xfId="0" applyFont="1" applyFill="1" applyBorder="1" applyAlignment="1">
      <alignment wrapText="1"/>
    </xf>
    <xf numFmtId="0" fontId="10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20" fontId="0" fillId="0" borderId="0" xfId="0" applyNumberFormat="1"/>
    <xf numFmtId="0" fontId="1" fillId="0" borderId="8" xfId="0" applyFont="1" applyBorder="1" applyAlignment="1"/>
    <xf numFmtId="0" fontId="0" fillId="0" borderId="0" xfId="0" applyNumberFormat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81317.279836452974</c:v>
                  </c:pt>
                  <c:pt idx="1">
                    <c:v>14142.135623730936</c:v>
                  </c:pt>
                  <c:pt idx="2">
                    <c:v>35355.339059327242</c:v>
                  </c:pt>
                  <c:pt idx="3">
                    <c:v>10606.601717798214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81317.279836452974</c:v>
                  </c:pt>
                  <c:pt idx="1">
                    <c:v>14142.135623730936</c:v>
                  </c:pt>
                  <c:pt idx="2">
                    <c:v>35355.339059327242</c:v>
                  </c:pt>
                  <c:pt idx="3">
                    <c:v>10606.601717798214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LVS ∆pmrA</c:v>
                </c:pt>
                <c:pt idx="2">
                  <c:v>LVS ∆pmrA ∆priM</c:v>
                </c:pt>
                <c:pt idx="3">
                  <c:v>LVS ∆priM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162500</c:v>
                </c:pt>
                <c:pt idx="1">
                  <c:v>145000</c:v>
                </c:pt>
                <c:pt idx="2">
                  <c:v>140000</c:v>
                </c:pt>
                <c:pt idx="3">
                  <c:v>117500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6-47D7-A0E9-F3AA82FF6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812688821752266E-2"/>
              <c:y val="0.14872896920056575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'T=2'!$O$3:$O$8</c:f>
                <c:numCache>
                  <c:formatCode>General</c:formatCode>
                  <c:ptCount val="6"/>
                  <c:pt idx="0">
                    <c:v>5</c:v>
                  </c:pt>
                  <c:pt idx="1">
                    <c:v>10.715167512214398</c:v>
                  </c:pt>
                  <c:pt idx="2">
                    <c:v>14.561491580090172</c:v>
                  </c:pt>
                  <c:pt idx="3">
                    <c:v>74.690720331937513</c:v>
                  </c:pt>
                  <c:pt idx="4">
                    <c:v>8.5526690657448032</c:v>
                  </c:pt>
                  <c:pt idx="5">
                    <c:v>9.2796072713833713</c:v>
                  </c:pt>
                </c:numCache>
              </c:numRef>
            </c:plus>
            <c:minus>
              <c:numRef>
                <c:f>'T=2'!$O$3:$O$8</c:f>
                <c:numCache>
                  <c:formatCode>General</c:formatCode>
                  <c:ptCount val="6"/>
                  <c:pt idx="0">
                    <c:v>5</c:v>
                  </c:pt>
                  <c:pt idx="1">
                    <c:v>10.715167512214398</c:v>
                  </c:pt>
                  <c:pt idx="2">
                    <c:v>14.561491580090172</c:v>
                  </c:pt>
                  <c:pt idx="3">
                    <c:v>74.690720331937513</c:v>
                  </c:pt>
                  <c:pt idx="4">
                    <c:v>8.5526690657448032</c:v>
                  </c:pt>
                  <c:pt idx="5">
                    <c:v>9.2796072713833713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cat>
            <c:strRef>
              <c:f>'T=2'!$L$3:$L$10</c:f>
              <c:strCache>
                <c:ptCount val="8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  <c:pt idx="4">
                  <c:v>LVS</c:v>
                </c:pt>
                <c:pt idx="5">
                  <c:v>∆pmrA</c:v>
                </c:pt>
                <c:pt idx="6">
                  <c:v>∆pmrA ∆priM </c:v>
                </c:pt>
                <c:pt idx="7">
                  <c:v>∆priM</c:v>
                </c:pt>
              </c:strCache>
            </c:strRef>
          </c:cat>
          <c:val>
            <c:numRef>
              <c:f>'T=2'!$N$3:$N$10</c:f>
              <c:numCache>
                <c:formatCode>0.00E+00</c:formatCode>
                <c:ptCount val="8"/>
                <c:pt idx="0">
                  <c:v>10</c:v>
                </c:pt>
                <c:pt idx="1">
                  <c:v>18.888888888888889</c:v>
                </c:pt>
                <c:pt idx="2">
                  <c:v>27.222222222222229</c:v>
                </c:pt>
                <c:pt idx="3">
                  <c:v>70.555555555555557</c:v>
                </c:pt>
                <c:pt idx="4">
                  <c:v>10.555555555555557</c:v>
                </c:pt>
                <c:pt idx="5">
                  <c:v>10.000000000000002</c:v>
                </c:pt>
                <c:pt idx="6">
                  <c:v>9.4444444444444446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1-47C7-BF3C-EF64641EC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Recovered</a:t>
                </a:r>
              </a:p>
            </c:rich>
          </c:tx>
          <c:layout>
            <c:manualLayout>
              <c:xMode val="edge"/>
              <c:yMode val="edge"/>
              <c:x val="4.1825156470825763E-2"/>
              <c:y val="0.2257041228106669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6801383964250389"/>
          <c:h val="0.68508909027880949"/>
        </c:manualLayout>
      </c:layout>
      <c:barChart>
        <c:barDir val="col"/>
        <c:grouping val="clustered"/>
        <c:varyColors val="0"/>
        <c:ser>
          <c:idx val="1"/>
          <c:order val="0"/>
          <c:tx>
            <c:v>T=2</c:v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</c:spPr>
          <c:invertIfNegative val="0"/>
          <c:errBars>
            <c:errBarType val="plus"/>
            <c:errValType val="cust"/>
            <c:noEndCap val="0"/>
            <c:plus>
              <c:numRef>
                <c:f>'T=24'!$AB$3:$AB$10</c:f>
                <c:numCache>
                  <c:formatCode>General</c:formatCode>
                  <c:ptCount val="8"/>
                  <c:pt idx="0">
                    <c:v>5</c:v>
                  </c:pt>
                  <c:pt idx="1">
                    <c:v>10.715167512214398</c:v>
                  </c:pt>
                  <c:pt idx="2">
                    <c:v>14.561491580090172</c:v>
                  </c:pt>
                  <c:pt idx="3">
                    <c:v>74.690720331937513</c:v>
                  </c:pt>
                  <c:pt idx="4">
                    <c:v>8.5526690657448032</c:v>
                  </c:pt>
                  <c:pt idx="5">
                    <c:v>9.2796072713833713</c:v>
                  </c:pt>
                  <c:pt idx="6">
                    <c:v>7.876359377087681</c:v>
                  </c:pt>
                  <c:pt idx="7">
                    <c:v>22.422706745122852</c:v>
                  </c:pt>
                </c:numCache>
              </c:numRef>
            </c:plus>
            <c:minus>
              <c:numRef>
                <c:f>'T=24'!$AB$3:$AB$10</c:f>
                <c:numCache>
                  <c:formatCode>General</c:formatCode>
                  <c:ptCount val="8"/>
                  <c:pt idx="0">
                    <c:v>5</c:v>
                  </c:pt>
                  <c:pt idx="1">
                    <c:v>10.715167512214398</c:v>
                  </c:pt>
                  <c:pt idx="2">
                    <c:v>14.561491580090172</c:v>
                  </c:pt>
                  <c:pt idx="3">
                    <c:v>74.690720331937513</c:v>
                  </c:pt>
                  <c:pt idx="4">
                    <c:v>8.5526690657448032</c:v>
                  </c:pt>
                  <c:pt idx="5">
                    <c:v>9.2796072713833713</c:v>
                  </c:pt>
                  <c:pt idx="6">
                    <c:v>7.876359377087681</c:v>
                  </c:pt>
                  <c:pt idx="7">
                    <c:v>22.422706745122852</c:v>
                  </c:pt>
                </c:numCache>
              </c:numRef>
            </c:minus>
          </c:errBars>
          <c:val>
            <c:numRef>
              <c:f>'T=24'!$AA$3:$AA$10</c:f>
              <c:numCache>
                <c:formatCode>0.00E+00</c:formatCode>
                <c:ptCount val="8"/>
                <c:pt idx="0">
                  <c:v>10</c:v>
                </c:pt>
                <c:pt idx="1">
                  <c:v>18.888888888888889</c:v>
                </c:pt>
                <c:pt idx="2">
                  <c:v>27.222222222222229</c:v>
                </c:pt>
                <c:pt idx="3">
                  <c:v>70.555555555555557</c:v>
                </c:pt>
                <c:pt idx="4">
                  <c:v>10.555555555555557</c:v>
                </c:pt>
                <c:pt idx="5">
                  <c:v>10.000000000000002</c:v>
                </c:pt>
                <c:pt idx="6">
                  <c:v>9.4444444444444446</c:v>
                </c:pt>
                <c:pt idx="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E9-334C-B879-04F7AF655FB0}"/>
            </c:ext>
          </c:extLst>
        </c:ser>
        <c:ser>
          <c:idx val="0"/>
          <c:order val="1"/>
          <c:tx>
            <c:v>T=24</c:v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'T=24'!$S$3:$S$10</c:f>
                <c:numCache>
                  <c:formatCode>General</c:formatCode>
                  <c:ptCount val="8"/>
                  <c:pt idx="0">
                    <c:v>5924.806607251694</c:v>
                  </c:pt>
                  <c:pt idx="1">
                    <c:v>264.18813442388046</c:v>
                  </c:pt>
                  <c:pt idx="2">
                    <c:v>534.54030094402924</c:v>
                  </c:pt>
                  <c:pt idx="3">
                    <c:v>5578.0193617448122</c:v>
                  </c:pt>
                  <c:pt idx="4">
                    <c:v>901.62815691022718</c:v>
                  </c:pt>
                  <c:pt idx="5">
                    <c:v>1223.9825706820068</c:v>
                  </c:pt>
                  <c:pt idx="6">
                    <c:v>287.28615235220309</c:v>
                  </c:pt>
                  <c:pt idx="7">
                    <c:v>107904.49480906715</c:v>
                  </c:pt>
                </c:numCache>
              </c:numRef>
            </c:plus>
            <c:minus>
              <c:numRef>
                <c:f>'T=24'!$S$3:$S$10</c:f>
                <c:numCache>
                  <c:formatCode>General</c:formatCode>
                  <c:ptCount val="8"/>
                  <c:pt idx="0">
                    <c:v>5924.806607251694</c:v>
                  </c:pt>
                  <c:pt idx="1">
                    <c:v>264.18813442388046</c:v>
                  </c:pt>
                  <c:pt idx="2">
                    <c:v>534.54030094402924</c:v>
                  </c:pt>
                  <c:pt idx="3">
                    <c:v>5578.0193617448122</c:v>
                  </c:pt>
                  <c:pt idx="4">
                    <c:v>901.62815691022718</c:v>
                  </c:pt>
                  <c:pt idx="5">
                    <c:v>1223.9825706820068</c:v>
                  </c:pt>
                  <c:pt idx="6">
                    <c:v>287.28615235220309</c:v>
                  </c:pt>
                  <c:pt idx="7">
                    <c:v>107904.49480906715</c:v>
                  </c:pt>
                </c:numCache>
              </c:numRef>
            </c:minus>
          </c:errBars>
          <c:cat>
            <c:strRef>
              <c:f>'T=24'!$P$3:$P$10</c:f>
              <c:strCache>
                <c:ptCount val="8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  <c:pt idx="4">
                  <c:v>LVS</c:v>
                </c:pt>
                <c:pt idx="5">
                  <c:v>∆pmrA</c:v>
                </c:pt>
                <c:pt idx="6">
                  <c:v>∆pmrA ∆priM </c:v>
                </c:pt>
                <c:pt idx="7">
                  <c:v>∆priM</c:v>
                </c:pt>
              </c:strCache>
            </c:strRef>
          </c:cat>
          <c:val>
            <c:numRef>
              <c:f>'T=24'!$R$3:$R$10</c:f>
              <c:numCache>
                <c:formatCode>0.00E+00</c:formatCode>
                <c:ptCount val="8"/>
                <c:pt idx="0">
                  <c:v>8766.6666666666661</c:v>
                </c:pt>
                <c:pt idx="1">
                  <c:v>477.22222222222234</c:v>
                </c:pt>
                <c:pt idx="2">
                  <c:v>636.66666666666663</c:v>
                </c:pt>
                <c:pt idx="3">
                  <c:v>5790</c:v>
                </c:pt>
                <c:pt idx="4">
                  <c:v>866.66666666666652</c:v>
                </c:pt>
                <c:pt idx="5">
                  <c:v>716.66666666666663</c:v>
                </c:pt>
                <c:pt idx="6">
                  <c:v>433.33333333333331</c:v>
                </c:pt>
                <c:pt idx="7">
                  <c:v>78700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C-4C65-8408-3AE54090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108907762692323"/>
          <c:y val="3.5385443606688209E-2"/>
          <c:w val="0.1491030471311019"/>
          <c:h val="7.6257621154843164E-2"/>
        </c:manualLayout>
      </c:layout>
      <c:overlay val="0"/>
      <c:txPr>
        <a:bodyPr/>
        <a:lstStyle/>
        <a:p>
          <a:pPr>
            <a:defRPr sz="20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'T=24'!$AL$3</c:f>
              <c:strCache>
                <c:ptCount val="1"/>
                <c:pt idx="0">
                  <c:v>saponin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'T=24'!$AN$3:$AN$6</c:f>
                <c:numCache>
                  <c:formatCode>General</c:formatCode>
                  <c:ptCount val="4"/>
                  <c:pt idx="0">
                    <c:v>811.64732739183614</c:v>
                  </c:pt>
                  <c:pt idx="1">
                    <c:v>22.116595514685802</c:v>
                  </c:pt>
                  <c:pt idx="2">
                    <c:v>26.328130903109283</c:v>
                  </c:pt>
                  <c:pt idx="3">
                    <c:v>171.02261818910222</c:v>
                  </c:pt>
                </c:numCache>
              </c:numRef>
            </c:plus>
            <c:minus>
              <c:numRef>
                <c:f>'T=24'!$AN$3:$AN$6</c:f>
                <c:numCache>
                  <c:formatCode>General</c:formatCode>
                  <c:ptCount val="4"/>
                  <c:pt idx="0">
                    <c:v>811.64732739183614</c:v>
                  </c:pt>
                  <c:pt idx="1">
                    <c:v>22.116595514685802</c:v>
                  </c:pt>
                  <c:pt idx="2">
                    <c:v>26.328130903109283</c:v>
                  </c:pt>
                  <c:pt idx="3">
                    <c:v>171.02261818910222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'T=24'!$AK$3:$AK$6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</c:strCache>
            </c:strRef>
          </c:cat>
          <c:val>
            <c:numRef>
              <c:f>'T=24'!$AM$3:$AM$6</c:f>
              <c:numCache>
                <c:formatCode>0.00E+00</c:formatCode>
                <c:ptCount val="4"/>
                <c:pt idx="0">
                  <c:v>876.66666666666663</c:v>
                </c:pt>
                <c:pt idx="1">
                  <c:v>25.264705882352946</c:v>
                </c:pt>
                <c:pt idx="2">
                  <c:v>23.38775510204081</c:v>
                </c:pt>
                <c:pt idx="3">
                  <c:v>82.062992125984252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6-3E42-8875-0DB61D4FF677}"/>
            </c:ext>
          </c:extLst>
        </c:ser>
        <c:ser>
          <c:idx val="0"/>
          <c:order val="1"/>
          <c:tx>
            <c:strRef>
              <c:f>'T=24'!$AL$7</c:f>
              <c:strCache>
                <c:ptCount val="1"/>
                <c:pt idx="0">
                  <c:v>SDS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'T=24'!$AN$7:$AN$10</c:f>
                <c:numCache>
                  <c:formatCode>General</c:formatCode>
                  <c:ptCount val="4"/>
                  <c:pt idx="0">
                    <c:v>139.3203056364288</c:v>
                  </c:pt>
                  <c:pt idx="1">
                    <c:v>184.11122003116361</c:v>
                  </c:pt>
                  <c:pt idx="2">
                    <c:v>62.329789630290257</c:v>
                  </c:pt>
                  <c:pt idx="3">
                    <c:v>10341.301129342246</c:v>
                  </c:pt>
                </c:numCache>
              </c:numRef>
            </c:plus>
            <c:minus>
              <c:numRef>
                <c:f>'T=24'!$AN$7:$AN$10</c:f>
                <c:numCache>
                  <c:formatCode>General</c:formatCode>
                  <c:ptCount val="4"/>
                  <c:pt idx="0">
                    <c:v>139.3203056364288</c:v>
                  </c:pt>
                  <c:pt idx="1">
                    <c:v>184.11122003116361</c:v>
                  </c:pt>
                  <c:pt idx="2">
                    <c:v>62.329789630290257</c:v>
                  </c:pt>
                  <c:pt idx="3">
                    <c:v>10341.301129342246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'T=24'!$AK$3:$AK$6</c:f>
              <c:strCache>
                <c:ptCount val="4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</c:strCache>
            </c:strRef>
          </c:cat>
          <c:val>
            <c:numRef>
              <c:f>'T=24'!$AM$7:$AM$10</c:f>
              <c:numCache>
                <c:formatCode>0.00E+00</c:formatCode>
                <c:ptCount val="4"/>
                <c:pt idx="0">
                  <c:v>82.105263157894711</c:v>
                </c:pt>
                <c:pt idx="1">
                  <c:v>71.666666666666657</c:v>
                </c:pt>
                <c:pt idx="2">
                  <c:v>45.882352941176471</c:v>
                </c:pt>
                <c:pt idx="3">
                  <c:v>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6-3E42-8875-0DB61D4FF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86112"/>
        <c:axId val="401905744"/>
      </c:barChart>
      <c:catAx>
        <c:axId val="4018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905744"/>
        <c:crossesAt val="0.1"/>
        <c:auto val="1"/>
        <c:lblAlgn val="ctr"/>
        <c:lblOffset val="100"/>
        <c:noMultiLvlLbl val="0"/>
      </c:catAx>
      <c:valAx>
        <c:axId val="40190574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Bacterial Growth</a:t>
                </a:r>
              </a:p>
              <a:p>
                <a:pPr>
                  <a:defRPr sz="1600" b="1"/>
                </a:pPr>
                <a:r>
                  <a:rPr lang="en-US" sz="1600" b="1"/>
                  <a:t>(Fold Change)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88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364785008752608"/>
          <c:y val="6.9421589738608416E-2"/>
          <c:w val="0.20565826132469089"/>
          <c:h val="8.47512601211216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525962803647E-2"/>
          <c:y val="4.4444444444444398E-2"/>
          <c:w val="0.81558758141088838"/>
          <c:h val="0.68508909027880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'T=24'!$R$2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plus"/>
            <c:errValType val="cust"/>
            <c:noEndCap val="0"/>
            <c:plus>
              <c:numRef>
                <c:f>'T=24'!$S$3:$S$10</c:f>
                <c:numCache>
                  <c:formatCode>General</c:formatCode>
                  <c:ptCount val="8"/>
                  <c:pt idx="0">
                    <c:v>5924.806607251694</c:v>
                  </c:pt>
                  <c:pt idx="1">
                    <c:v>264.18813442388046</c:v>
                  </c:pt>
                  <c:pt idx="2">
                    <c:v>534.54030094402924</c:v>
                  </c:pt>
                  <c:pt idx="3">
                    <c:v>5578.0193617448122</c:v>
                  </c:pt>
                  <c:pt idx="4">
                    <c:v>901.62815691022718</c:v>
                  </c:pt>
                  <c:pt idx="5">
                    <c:v>1223.9825706820068</c:v>
                  </c:pt>
                  <c:pt idx="6">
                    <c:v>287.28615235220309</c:v>
                  </c:pt>
                  <c:pt idx="7">
                    <c:v>107904.49480906715</c:v>
                  </c:pt>
                </c:numCache>
              </c:numRef>
            </c:plus>
            <c:minus>
              <c:numRef>
                <c:f>'T=24'!$S$3:$S$10</c:f>
                <c:numCache>
                  <c:formatCode>General</c:formatCode>
                  <c:ptCount val="8"/>
                  <c:pt idx="0">
                    <c:v>5924.806607251694</c:v>
                  </c:pt>
                  <c:pt idx="1">
                    <c:v>264.18813442388046</c:v>
                  </c:pt>
                  <c:pt idx="2">
                    <c:v>534.54030094402924</c:v>
                  </c:pt>
                  <c:pt idx="3">
                    <c:v>5578.0193617448122</c:v>
                  </c:pt>
                  <c:pt idx="4">
                    <c:v>901.62815691022718</c:v>
                  </c:pt>
                  <c:pt idx="5">
                    <c:v>1223.9825706820068</c:v>
                  </c:pt>
                  <c:pt idx="6">
                    <c:v>287.28615235220309</c:v>
                  </c:pt>
                  <c:pt idx="7">
                    <c:v>107904.49480906715</c:v>
                  </c:pt>
                </c:numCache>
              </c:numRef>
            </c:minus>
          </c:errBars>
          <c:cat>
            <c:strRef>
              <c:f>'T=24'!$P$3:$P$10</c:f>
              <c:strCache>
                <c:ptCount val="8"/>
                <c:pt idx="0">
                  <c:v>LVS</c:v>
                </c:pt>
                <c:pt idx="1">
                  <c:v>∆pmrA</c:v>
                </c:pt>
                <c:pt idx="2">
                  <c:v>∆pmrA ∆priM </c:v>
                </c:pt>
                <c:pt idx="3">
                  <c:v>∆priM</c:v>
                </c:pt>
                <c:pt idx="4">
                  <c:v>LVS</c:v>
                </c:pt>
                <c:pt idx="5">
                  <c:v>∆pmrA</c:v>
                </c:pt>
                <c:pt idx="6">
                  <c:v>∆pmrA ∆priM </c:v>
                </c:pt>
                <c:pt idx="7">
                  <c:v>∆priM</c:v>
                </c:pt>
              </c:strCache>
            </c:strRef>
          </c:cat>
          <c:val>
            <c:numRef>
              <c:f>'T=24'!$R$3:$R$10</c:f>
              <c:numCache>
                <c:formatCode>0.00E+00</c:formatCode>
                <c:ptCount val="8"/>
                <c:pt idx="0">
                  <c:v>8766.6666666666661</c:v>
                </c:pt>
                <c:pt idx="1">
                  <c:v>477.22222222222234</c:v>
                </c:pt>
                <c:pt idx="2">
                  <c:v>636.66666666666663</c:v>
                </c:pt>
                <c:pt idx="3">
                  <c:v>5790</c:v>
                </c:pt>
                <c:pt idx="4">
                  <c:v>866.66666666666652</c:v>
                </c:pt>
                <c:pt idx="5">
                  <c:v>716.66666666666663</c:v>
                </c:pt>
                <c:pt idx="6">
                  <c:v>433.33333333333331</c:v>
                </c:pt>
                <c:pt idx="7">
                  <c:v>78700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7B-6648-B35A-5947E382D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997192"/>
        <c:crossesAt val="0.1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'T=24'!$R$3:$R$6</c:f>
              <c:numCache>
                <c:formatCode>0.00E+00</c:formatCode>
                <c:ptCount val="4"/>
                <c:pt idx="0">
                  <c:v>8766.6666666666661</c:v>
                </c:pt>
                <c:pt idx="1">
                  <c:v>477.22222222222234</c:v>
                </c:pt>
                <c:pt idx="2">
                  <c:v>636.66666666666663</c:v>
                </c:pt>
                <c:pt idx="3">
                  <c:v>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5-1D40-AC84-6A508873199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'T=24'!$R$7:$R$10</c:f>
              <c:numCache>
                <c:formatCode>0.00E+00</c:formatCode>
                <c:ptCount val="4"/>
                <c:pt idx="0">
                  <c:v>866.66666666666652</c:v>
                </c:pt>
                <c:pt idx="1">
                  <c:v>716.66666666666663</c:v>
                </c:pt>
                <c:pt idx="2">
                  <c:v>433.33333333333331</c:v>
                </c:pt>
                <c:pt idx="3">
                  <c:v>78700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5-1D40-AC84-6A508873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22600863"/>
        <c:axId val="1122635695"/>
      </c:barChart>
      <c:catAx>
        <c:axId val="11226008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35695"/>
        <c:crosses val="autoZero"/>
        <c:auto val="1"/>
        <c:lblAlgn val="ctr"/>
        <c:lblOffset val="100"/>
        <c:noMultiLvlLbl val="0"/>
      </c:catAx>
      <c:valAx>
        <c:axId val="112263569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00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'SDS vs saponin'!$A$11:$A$16</c:f>
              <c:numCache>
                <c:formatCode>General</c:formatCode>
                <c:ptCount val="6"/>
                <c:pt idx="0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4-9942-8EB6-450D141AB3E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'SDS vs saponin'!$B$11:$B$16</c:f>
              <c:numCache>
                <c:formatCode>General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51.5</c:v>
                </c:pt>
                <c:pt idx="5">
                  <c:v>15.5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4-9942-8EB6-450D141AB3E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'SDS vs saponin'!$C$11:$C$16</c:f>
              <c:numCache>
                <c:formatCode>General</c:formatCode>
                <c:ptCount val="6"/>
                <c:pt idx="0">
                  <c:v>34.5</c:v>
                </c:pt>
                <c:pt idx="1">
                  <c:v>77</c:v>
                </c:pt>
                <c:pt idx="2">
                  <c:v>20</c:v>
                </c:pt>
                <c:pt idx="3">
                  <c:v>47.5</c:v>
                </c:pt>
                <c:pt idx="4">
                  <c:v>6</c:v>
                </c:pt>
                <c:pt idx="5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4-9942-8EB6-450D141AB3E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'SDS vs saponin'!$D$11:$D$16</c:f>
              <c:numCache>
                <c:formatCode>General</c:formatCode>
                <c:ptCount val="6"/>
                <c:pt idx="0">
                  <c:v>2.5</c:v>
                </c:pt>
                <c:pt idx="1">
                  <c:v>9.5</c:v>
                </c:pt>
                <c:pt idx="2">
                  <c:v>1</c:v>
                </c:pt>
                <c:pt idx="3">
                  <c:v>15</c:v>
                </c:pt>
                <c:pt idx="4">
                  <c:v>1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04-9942-8EB6-450D141AB3E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'SDS vs saponin'!$E$11:$E$16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04-9942-8EB6-450D141A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979167"/>
        <c:axId val="1122645679"/>
      </c:barChart>
      <c:catAx>
        <c:axId val="11449791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45679"/>
        <c:crosses val="autoZero"/>
        <c:auto val="1"/>
        <c:lblAlgn val="ctr"/>
        <c:lblOffset val="100"/>
        <c:noMultiLvlLbl val="0"/>
      </c:catAx>
      <c:valAx>
        <c:axId val="11226456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97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138706304040153E-2"/>
          <c:y val="3.8201221876278994E-2"/>
          <c:w val="0.89227692523030866"/>
          <c:h val="0.733950228337937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'SDS vs saponin'!$B$34</c:f>
              <c:strCache>
                <c:ptCount val="1"/>
                <c:pt idx="0">
                  <c:v>undiluted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'SDS vs saponin'!$L$28:$M$33</c:f>
              <c:multiLvlStrCache>
                <c:ptCount val="6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A</c:v>
                  </c:pt>
                  <c:pt idx="4">
                    <c:v>B</c:v>
                  </c:pt>
                  <c:pt idx="5">
                    <c:v>C</c:v>
                  </c:pt>
                </c:lvl>
                <c:lvl>
                  <c:pt idx="0">
                    <c:v>Saponin</c:v>
                  </c:pt>
                  <c:pt idx="3">
                    <c:v>SDS</c:v>
                  </c:pt>
                </c:lvl>
              </c:multiLvlStrCache>
            </c:multiLvlStrRef>
          </c:cat>
          <c:val>
            <c:numRef>
              <c:f>'SDS vs saponin'!$B$35:$B$40</c:f>
              <c:numCache>
                <c:formatCode>General</c:formatCode>
                <c:ptCount val="6"/>
                <c:pt idx="0">
                  <c:v>19.5</c:v>
                </c:pt>
                <c:pt idx="1">
                  <c:v>13.5</c:v>
                </c:pt>
                <c:pt idx="2">
                  <c:v>62.5</c:v>
                </c:pt>
                <c:pt idx="3">
                  <c:v>16.5</c:v>
                </c:pt>
                <c:pt idx="4">
                  <c:v>15</c:v>
                </c:pt>
                <c:pt idx="5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7-BC4E-BE6E-539A54A3D312}"/>
            </c:ext>
          </c:extLst>
        </c:ser>
        <c:ser>
          <c:idx val="2"/>
          <c:order val="1"/>
          <c:tx>
            <c:strRef>
              <c:f>'SDS vs saponin'!$C$34</c:f>
              <c:strCache>
                <c:ptCount val="1"/>
                <c:pt idx="0">
                  <c:v>1:10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'SDS vs saponin'!$L$28:$M$33</c:f>
              <c:multiLvlStrCache>
                <c:ptCount val="6"/>
                <c:lvl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  <c:pt idx="3">
                    <c:v>A</c:v>
                  </c:pt>
                  <c:pt idx="4">
                    <c:v>B</c:v>
                  </c:pt>
                  <c:pt idx="5">
                    <c:v>C</c:v>
                  </c:pt>
                </c:lvl>
                <c:lvl>
                  <c:pt idx="0">
                    <c:v>Saponin</c:v>
                  </c:pt>
                  <c:pt idx="3">
                    <c:v>SDS</c:v>
                  </c:pt>
                </c:lvl>
              </c:multiLvlStrCache>
            </c:multiLvlStrRef>
          </c:cat>
          <c:val>
            <c:numRef>
              <c:f>'SDS vs saponin'!$C$35:$C$40</c:f>
              <c:numCache>
                <c:formatCode>General</c:formatCode>
                <c:ptCount val="6"/>
                <c:pt idx="0">
                  <c:v>2</c:v>
                </c:pt>
                <c:pt idx="1">
                  <c:v>1.5</c:v>
                </c:pt>
                <c:pt idx="2">
                  <c:v>7</c:v>
                </c:pt>
                <c:pt idx="3">
                  <c:v>5.5</c:v>
                </c:pt>
                <c:pt idx="4">
                  <c:v>19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7-BC4E-BE6E-539A54A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44979167"/>
        <c:axId val="1122645679"/>
      </c:barChart>
      <c:catAx>
        <c:axId val="1144979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645679"/>
        <c:crosses val="autoZero"/>
        <c:auto val="1"/>
        <c:lblAlgn val="ctr"/>
        <c:lblOffset val="100"/>
        <c:noMultiLvlLbl val="0"/>
      </c:catAx>
      <c:valAx>
        <c:axId val="112264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CFU counted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979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31398154912622"/>
          <c:y val="4.8090131477256291E-2"/>
          <c:w val="0.21226384457482583"/>
          <c:h val="7.4735805329648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3</xdr:row>
      <xdr:rowOff>158750</xdr:rowOff>
    </xdr:from>
    <xdr:to>
      <xdr:col>17</xdr:col>
      <xdr:colOff>406400</xdr:colOff>
      <xdr:row>15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E61369-F4B1-4418-AE70-3DDAB31CF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800100</xdr:colOff>
      <xdr:row>1</xdr:row>
      <xdr:rowOff>436033</xdr:rowOff>
    </xdr:from>
    <xdr:to>
      <xdr:col>27</xdr:col>
      <xdr:colOff>773546</xdr:colOff>
      <xdr:row>19</xdr:row>
      <xdr:rowOff>125589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51E1F1-F696-4A54-A6D5-3AEE795E2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673100</xdr:colOff>
      <xdr:row>14</xdr:row>
      <xdr:rowOff>82550</xdr:rowOff>
    </xdr:from>
    <xdr:to>
      <xdr:col>38</xdr:col>
      <xdr:colOff>804333</xdr:colOff>
      <xdr:row>38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3A0C30-22EF-49B8-B96D-19B9B4079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705095</xdr:colOff>
      <xdr:row>9</xdr:row>
      <xdr:rowOff>65063</xdr:rowOff>
    </xdr:from>
    <xdr:to>
      <xdr:col>54</xdr:col>
      <xdr:colOff>157189</xdr:colOff>
      <xdr:row>29</xdr:row>
      <xdr:rowOff>178330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6FB55FF-CA79-5540-B1C8-64E35DE84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42</xdr:row>
      <xdr:rowOff>0</xdr:rowOff>
    </xdr:from>
    <xdr:to>
      <xdr:col>40</xdr:col>
      <xdr:colOff>197757</xdr:colOff>
      <xdr:row>67</xdr:row>
      <xdr:rowOff>35379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EFF7009-8FF8-1346-9789-833E43256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479778</xdr:colOff>
      <xdr:row>14</xdr:row>
      <xdr:rowOff>46567</xdr:rowOff>
    </xdr:from>
    <xdr:to>
      <xdr:col>23</xdr:col>
      <xdr:colOff>719667</xdr:colOff>
      <xdr:row>27</xdr:row>
      <xdr:rowOff>193323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B392A8-222C-5E4A-A703-7EBEA8D6B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0.12738</cdr:x>
      <cdr:y>0.86289</cdr:y>
    </cdr:from>
    <cdr:to>
      <cdr:x>0.49367</cdr:x>
      <cdr:y>0.86289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F715772-7FAC-5349-996D-7835ECCFBD1E}"/>
            </a:ext>
          </a:extLst>
        </cdr:cNvPr>
        <cdr:cNvCxnSpPr/>
      </cdr:nvCxnSpPr>
      <cdr:spPr>
        <a:xfrm xmlns:a="http://schemas.openxmlformats.org/drawingml/2006/main">
          <a:off x="1395416" y="4257456"/>
          <a:ext cx="4012508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0.25499</cdr:x>
      <cdr:y>0.88302</cdr:y>
    </cdr:from>
    <cdr:to>
      <cdr:x>0.31433</cdr:x>
      <cdr:y>0.9588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22329BC3-6C7C-5D44-BFFF-565A64C260D4}"/>
            </a:ext>
          </a:extLst>
        </cdr:cNvPr>
        <cdr:cNvSpPr txBox="1"/>
      </cdr:nvSpPr>
      <cdr:spPr>
        <a:xfrm xmlns:a="http://schemas.openxmlformats.org/drawingml/2006/main">
          <a:off x="2793314" y="4356777"/>
          <a:ext cx="650038" cy="3738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Saponin</a:t>
          </a:r>
        </a:p>
      </cdr:txBody>
    </cdr:sp>
  </cdr:relSizeAnchor>
  <cdr:relSizeAnchor xmlns:cdr="http://schemas.openxmlformats.org/drawingml/2006/chartDrawing">
    <cdr:from>
      <cdr:x>0.5692</cdr:x>
      <cdr:y>0.85717</cdr:y>
    </cdr:from>
    <cdr:to>
      <cdr:x>0.93549</cdr:x>
      <cdr:y>0.85717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20F2832-B493-2C47-9DF0-EF86373151DB}"/>
            </a:ext>
          </a:extLst>
        </cdr:cNvPr>
        <cdr:cNvCxnSpPr/>
      </cdr:nvCxnSpPr>
      <cdr:spPr>
        <a:xfrm xmlns:a="http://schemas.openxmlformats.org/drawingml/2006/main">
          <a:off x="6235249" y="4229233"/>
          <a:ext cx="4012507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0.71178</cdr:x>
      <cdr:y>0.8773</cdr:y>
    </cdr:from>
    <cdr:to>
      <cdr:x>0.74568</cdr:x>
      <cdr:y>0.95308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6D628584-2F9C-EF4F-84F9-2A7823CF78D7}"/>
            </a:ext>
          </a:extLst>
        </cdr:cNvPr>
        <cdr:cNvSpPr txBox="1"/>
      </cdr:nvSpPr>
      <cdr:spPr>
        <a:xfrm xmlns:a="http://schemas.openxmlformats.org/drawingml/2006/main">
          <a:off x="7797135" y="4328554"/>
          <a:ext cx="371356" cy="37389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SDS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0.11579</cdr:x>
      <cdr:y>0.86289</cdr:y>
    </cdr:from>
    <cdr:to>
      <cdr:x>0.48208</cdr:x>
      <cdr:y>0.86289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F715772-7FAC-5349-996D-7835ECCFBD1E}"/>
            </a:ext>
          </a:extLst>
        </cdr:cNvPr>
        <cdr:cNvCxnSpPr/>
      </cdr:nvCxnSpPr>
      <cdr:spPr>
        <a:xfrm xmlns:a="http://schemas.openxmlformats.org/drawingml/2006/main">
          <a:off x="1866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0.2434</cdr:x>
      <cdr:y>0.88302</cdr:y>
    </cdr:from>
    <cdr:to>
      <cdr:x>0.30274</cdr:x>
      <cdr:y>0.9588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22329BC3-6C7C-5D44-BFFF-565A64C260D4}"/>
            </a:ext>
          </a:extLst>
        </cdr:cNvPr>
        <cdr:cNvSpPr txBox="1"/>
      </cdr:nvSpPr>
      <cdr:spPr>
        <a:xfrm xmlns:a="http://schemas.openxmlformats.org/drawingml/2006/main">
          <a:off x="3938163" y="4359580"/>
          <a:ext cx="960135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Saponin</a:t>
          </a:r>
        </a:p>
      </cdr:txBody>
    </cdr:sp>
  </cdr:relSizeAnchor>
  <cdr:relSizeAnchor xmlns:cdr="http://schemas.openxmlformats.org/drawingml/2006/chartDrawing">
    <cdr:from>
      <cdr:x>0.5254</cdr:x>
      <cdr:y>0.86289</cdr:y>
    </cdr:from>
    <cdr:to>
      <cdr:x>0.89169</cdr:x>
      <cdr:y>0.86289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120F2832-B493-2C47-9DF0-EF86373151DB}"/>
            </a:ext>
          </a:extLst>
        </cdr:cNvPr>
        <cdr:cNvCxnSpPr/>
      </cdr:nvCxnSpPr>
      <cdr:spPr>
        <a:xfrm xmlns:a="http://schemas.openxmlformats.org/drawingml/2006/main">
          <a:off x="8470900" y="4356100"/>
          <a:ext cx="5905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0.66798</cdr:x>
      <cdr:y>0.88302</cdr:y>
    </cdr:from>
    <cdr:to>
      <cdr:x>0.70188</cdr:x>
      <cdr:y>0.9588</cdr:y>
    </cdr:to>
    <cdr:sp macro="" textlink="">
      <cdr:nvSpPr>
        <cdr:cNvPr id="5" name="TextBox 7">
          <a:extLst xmlns:a="http://schemas.openxmlformats.org/drawingml/2006/main">
            <a:ext uri="{FF2B5EF4-FFF2-40B4-BE49-F238E27FC236}">
              <a16:creationId xmlns:a16="http://schemas.microsoft.com/office/drawing/2014/main" id="{6D628584-2F9C-EF4F-84F9-2A7823CF78D7}"/>
            </a:ext>
          </a:extLst>
        </cdr:cNvPr>
        <cdr:cNvSpPr txBox="1"/>
      </cdr:nvSpPr>
      <cdr:spPr>
        <a:xfrm xmlns:a="http://schemas.openxmlformats.org/drawingml/2006/main">
          <a:off x="10807783" y="4359580"/>
          <a:ext cx="548420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/>
            <a:t>SDS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340077</xdr:colOff>
      <xdr:row>9</xdr:row>
      <xdr:rowOff>182739</xdr:rowOff>
    </xdr:from>
    <xdr:to>
      <xdr:col>10</xdr:col>
      <xdr:colOff>791633</xdr:colOff>
      <xdr:row>23</xdr:row>
      <xdr:rowOff>81139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3F04A2-7E82-9D47-8BF8-7FEFDBEBA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211666</xdr:colOff>
      <xdr:row>34</xdr:row>
      <xdr:rowOff>1</xdr:rowOff>
    </xdr:from>
    <xdr:to>
      <xdr:col>14</xdr:col>
      <xdr:colOff>663222</xdr:colOff>
      <xdr:row>53</xdr:row>
      <xdr:rowOff>141111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B09EC8-4D60-FF41-AA94-5B9430D53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A5C57-8139-4D40-9212-FF2505C90C78}">
  <sheetPr>
    <pageSetUpPr fitToPage="1"/>
  </sheetPr>
  <dimension ref="A3:AA37"/>
  <sheetViews>
    <sheetView tabSelected="1" zoomScale="134" zoomScaleNormal="120" workbookViewId="0">
      <selection activeCell="Q9" sqref="Q9"/>
    </sheetView>
  </sheetViews>
  <sheetFormatPr baseColWidth="10" defaultColWidth="10.6640625" defaultRowHeight="16" x14ac:dyDescent="0.2"/>
  <cols>
    <col min="1" max="1" width="2.5" bestFit="1" customWidth="1"/>
    <col min="2" max="3" width="11.5" customWidth="1"/>
    <col min="4" max="4" width="13.5" customWidth="1"/>
    <col min="5" max="5" width="11.5" customWidth="1"/>
    <col min="6" max="8" width="7.5" customWidth="1"/>
    <col min="9" max="9" width="2.1640625" bestFit="1" customWidth="1"/>
    <col min="10" max="10" width="8.5" bestFit="1" customWidth="1"/>
    <col min="11" max="12" width="7" bestFit="1" customWidth="1"/>
    <col min="13" max="13" width="3.1640625" bestFit="1" customWidth="1"/>
    <col min="15" max="15" width="26.6640625" bestFit="1" customWidth="1"/>
    <col min="16" max="16" width="8.6640625" bestFit="1" customWidth="1"/>
    <col min="18" max="18" width="27.83203125" customWidth="1"/>
    <col min="19" max="19" width="12.83203125" customWidth="1"/>
    <col min="23" max="26" width="3.1640625" bestFit="1" customWidth="1"/>
    <col min="27" max="27" width="8.6640625" bestFit="1" customWidth="1"/>
  </cols>
  <sheetData>
    <row r="3" spans="1:27" ht="17" thickBot="1" x14ac:dyDescent="0.25">
      <c r="A3" s="2" t="s">
        <v>0</v>
      </c>
      <c r="B3" s="3">
        <v>1</v>
      </c>
      <c r="C3" s="3">
        <v>2</v>
      </c>
      <c r="D3" s="3">
        <v>3</v>
      </c>
      <c r="E3" s="3">
        <v>4</v>
      </c>
      <c r="O3" s="89" t="s">
        <v>1</v>
      </c>
      <c r="P3" s="89" t="s">
        <v>155</v>
      </c>
      <c r="Q3" t="s">
        <v>156</v>
      </c>
      <c r="R3" t="s">
        <v>158</v>
      </c>
      <c r="W3" s="91" t="s">
        <v>99</v>
      </c>
      <c r="X3" s="91"/>
      <c r="Y3" s="91"/>
      <c r="Z3" s="91"/>
      <c r="AA3" s="91"/>
    </row>
    <row r="4" spans="1:27" ht="17" x14ac:dyDescent="0.2">
      <c r="A4" s="5" t="s">
        <v>2</v>
      </c>
      <c r="B4" s="6" t="s">
        <v>3</v>
      </c>
      <c r="C4" s="6" t="s">
        <v>140</v>
      </c>
      <c r="D4" s="6" t="s">
        <v>159</v>
      </c>
      <c r="E4" s="6" t="s">
        <v>160</v>
      </c>
      <c r="O4" t="s">
        <v>157</v>
      </c>
      <c r="P4">
        <v>0.32</v>
      </c>
      <c r="Q4">
        <v>3.8</v>
      </c>
      <c r="R4">
        <f>Q4/P4</f>
        <v>11.875</v>
      </c>
      <c r="W4" s="2">
        <v>25</v>
      </c>
      <c r="X4" s="2">
        <v>55</v>
      </c>
      <c r="Y4" s="2">
        <v>56</v>
      </c>
      <c r="Z4" s="2">
        <v>27</v>
      </c>
      <c r="AA4" s="91"/>
    </row>
    <row r="5" spans="1:27" ht="17" x14ac:dyDescent="0.2">
      <c r="A5" s="5" t="s">
        <v>5</v>
      </c>
      <c r="B5" s="6" t="s">
        <v>3</v>
      </c>
      <c r="C5" s="6" t="s">
        <v>140</v>
      </c>
      <c r="D5" s="6" t="s">
        <v>159</v>
      </c>
      <c r="E5" s="6" t="s">
        <v>160</v>
      </c>
      <c r="O5" s="2" t="s">
        <v>4</v>
      </c>
      <c r="P5" s="8">
        <v>25000</v>
      </c>
      <c r="Q5" s="1">
        <f>P5*$R$4</f>
        <v>296875</v>
      </c>
      <c r="R5">
        <f t="shared" ref="R5:R7" si="0">Q5/P5</f>
        <v>11.875</v>
      </c>
      <c r="W5" s="2">
        <v>81</v>
      </c>
      <c r="X5" s="2">
        <v>82</v>
      </c>
      <c r="Y5" s="2">
        <v>63</v>
      </c>
      <c r="Z5" s="2"/>
      <c r="AA5" s="91"/>
    </row>
    <row r="6" spans="1:27" ht="17" x14ac:dyDescent="0.2">
      <c r="A6" s="5" t="s">
        <v>7</v>
      </c>
      <c r="B6" s="6" t="s">
        <v>3</v>
      </c>
      <c r="C6" s="6" t="s">
        <v>140</v>
      </c>
      <c r="D6" s="6" t="s">
        <v>159</v>
      </c>
      <c r="E6" s="6" t="s">
        <v>160</v>
      </c>
      <c r="O6" s="2" t="s">
        <v>6</v>
      </c>
      <c r="P6" s="2">
        <v>0.2</v>
      </c>
      <c r="Q6" s="90">
        <v>1</v>
      </c>
      <c r="W6" s="91" t="s">
        <v>100</v>
      </c>
      <c r="X6" s="91"/>
      <c r="Y6" s="91"/>
      <c r="Z6" s="91"/>
      <c r="AA6" s="2">
        <f>AVERAGE(W4:Z5)</f>
        <v>55.571428571428569</v>
      </c>
    </row>
    <row r="7" spans="1:27" x14ac:dyDescent="0.2">
      <c r="O7" s="2" t="s">
        <v>8</v>
      </c>
      <c r="P7" s="8">
        <f>P5/P6</f>
        <v>125000</v>
      </c>
      <c r="Q7" s="8">
        <f>Q5/Q6</f>
        <v>296875</v>
      </c>
      <c r="W7" s="91" t="s">
        <v>101</v>
      </c>
      <c r="X7" s="91"/>
      <c r="Y7" s="91"/>
      <c r="Z7" s="91"/>
      <c r="AA7" s="2">
        <f>AA6*2</f>
        <v>111.14285714285714</v>
      </c>
    </row>
    <row r="8" spans="1:27" x14ac:dyDescent="0.2">
      <c r="O8" s="2" t="s">
        <v>10</v>
      </c>
      <c r="P8" s="2">
        <v>15</v>
      </c>
      <c r="Q8" s="90">
        <v>30</v>
      </c>
      <c r="W8" s="91" t="s">
        <v>102</v>
      </c>
      <c r="X8" s="91"/>
      <c r="Y8" s="91"/>
      <c r="Z8" s="91"/>
      <c r="AA8" s="8">
        <f>AA7*10000</f>
        <v>1111428.5714285714</v>
      </c>
    </row>
    <row r="9" spans="1:27" x14ac:dyDescent="0.2">
      <c r="O9" s="2" t="s">
        <v>12</v>
      </c>
      <c r="P9" s="50">
        <f>AA8</f>
        <v>1111428.5714285714</v>
      </c>
      <c r="Q9" s="50"/>
    </row>
    <row r="10" spans="1:27" x14ac:dyDescent="0.2">
      <c r="O10" s="2" t="s">
        <v>14</v>
      </c>
      <c r="P10" s="12">
        <f>P8*P7/P9</f>
        <v>1.6870179948586119</v>
      </c>
      <c r="Q10" s="12"/>
    </row>
    <row r="11" spans="1:27" x14ac:dyDescent="0.2">
      <c r="O11" s="2" t="s">
        <v>16</v>
      </c>
      <c r="P11" s="12">
        <f>P8-P10</f>
        <v>13.312982005141388</v>
      </c>
      <c r="Q11" s="1"/>
      <c r="Y11" t="s">
        <v>54</v>
      </c>
    </row>
    <row r="12" spans="1:27" x14ac:dyDescent="0.2">
      <c r="H12" s="1"/>
      <c r="O12" s="2" t="s">
        <v>18</v>
      </c>
      <c r="P12" s="50">
        <f>AA19</f>
        <v>107500</v>
      </c>
      <c r="Q12" s="1"/>
      <c r="W12" s="91" t="s">
        <v>98</v>
      </c>
      <c r="X12" s="91"/>
      <c r="Y12" s="91"/>
      <c r="Z12" s="91"/>
      <c r="AA12" s="91"/>
    </row>
    <row r="13" spans="1:27" x14ac:dyDescent="0.2">
      <c r="O13" s="2" t="s">
        <v>19</v>
      </c>
      <c r="P13" s="8">
        <f>P12*0.15</f>
        <v>16125</v>
      </c>
      <c r="Q13" s="1"/>
      <c r="W13" s="2">
        <v>2</v>
      </c>
      <c r="X13" s="2">
        <v>7</v>
      </c>
      <c r="Y13" s="2">
        <v>4</v>
      </c>
      <c r="Z13" s="2">
        <v>1</v>
      </c>
      <c r="AA13" s="91"/>
    </row>
    <row r="14" spans="1:27" x14ac:dyDescent="0.2">
      <c r="W14" s="2">
        <v>10</v>
      </c>
      <c r="X14" s="2">
        <v>5</v>
      </c>
      <c r="Y14" s="2">
        <v>4</v>
      </c>
      <c r="Z14" s="2">
        <v>10</v>
      </c>
      <c r="AA14" s="91"/>
    </row>
    <row r="15" spans="1:27" x14ac:dyDescent="0.2">
      <c r="W15" s="2"/>
      <c r="X15" s="2"/>
      <c r="Y15" s="2"/>
      <c r="Z15" s="2"/>
      <c r="AA15" s="91"/>
    </row>
    <row r="16" spans="1:27" x14ac:dyDescent="0.2">
      <c r="B16" s="64" t="s">
        <v>103</v>
      </c>
      <c r="C16" s="65" t="s">
        <v>45</v>
      </c>
      <c r="D16" s="66" t="s">
        <v>105</v>
      </c>
      <c r="W16" s="2"/>
      <c r="X16" s="2"/>
      <c r="Y16" s="2"/>
      <c r="Z16" s="2"/>
      <c r="AA16" s="91"/>
    </row>
    <row r="17" spans="2:27" x14ac:dyDescent="0.2">
      <c r="B17" s="67">
        <v>1</v>
      </c>
      <c r="C17" s="68" t="s">
        <v>3</v>
      </c>
      <c r="D17" s="69" t="s">
        <v>83</v>
      </c>
      <c r="W17" s="91" t="s">
        <v>100</v>
      </c>
      <c r="X17" s="91"/>
      <c r="Y17" s="91"/>
      <c r="Z17" s="91"/>
      <c r="AA17" s="2">
        <f>AVERAGE(W13:Z16)</f>
        <v>5.375</v>
      </c>
    </row>
    <row r="18" spans="2:27" x14ac:dyDescent="0.2">
      <c r="B18" s="67">
        <v>2</v>
      </c>
      <c r="C18" s="68" t="s">
        <v>109</v>
      </c>
      <c r="D18" s="69" t="s">
        <v>106</v>
      </c>
      <c r="H18">
        <f>COUNTA(B4:H11)</f>
        <v>12</v>
      </c>
      <c r="J18">
        <f>COUNTA(B4:J11)</f>
        <v>12</v>
      </c>
      <c r="K18">
        <f>J18-6-4</f>
        <v>2</v>
      </c>
      <c r="O18" s="4" t="s">
        <v>27</v>
      </c>
      <c r="P18" s="4" t="s">
        <v>28</v>
      </c>
      <c r="W18" s="91" t="s">
        <v>101</v>
      </c>
      <c r="X18" s="91"/>
      <c r="Y18" s="91"/>
      <c r="Z18" s="91"/>
      <c r="AA18" s="2">
        <f>AA17*2</f>
        <v>10.75</v>
      </c>
    </row>
    <row r="19" spans="2:27" x14ac:dyDescent="0.2">
      <c r="B19" s="67">
        <v>3</v>
      </c>
      <c r="C19" s="68" t="s">
        <v>110</v>
      </c>
      <c r="D19" s="69" t="s">
        <v>107</v>
      </c>
      <c r="J19">
        <f>J18*2</f>
        <v>24</v>
      </c>
      <c r="K19">
        <f>K18*2</f>
        <v>4</v>
      </c>
      <c r="L19">
        <f>J19-K19</f>
        <v>20</v>
      </c>
      <c r="O19" s="2" t="s">
        <v>30</v>
      </c>
      <c r="P19" s="13">
        <v>5</v>
      </c>
      <c r="Q19">
        <v>5</v>
      </c>
      <c r="R19" t="s">
        <v>54</v>
      </c>
      <c r="W19" s="91" t="s">
        <v>102</v>
      </c>
      <c r="X19" s="91"/>
      <c r="Y19" s="91"/>
      <c r="Z19" s="91"/>
      <c r="AA19" s="8">
        <f>AA18*10000</f>
        <v>107500</v>
      </c>
    </row>
    <row r="20" spans="2:27" x14ac:dyDescent="0.2">
      <c r="B20" s="67">
        <v>4</v>
      </c>
      <c r="C20" s="68" t="s">
        <v>111</v>
      </c>
      <c r="D20" s="69" t="s">
        <v>108</v>
      </c>
      <c r="O20" s="2" t="s">
        <v>32</v>
      </c>
      <c r="P20" s="14">
        <f>P13</f>
        <v>16125</v>
      </c>
      <c r="Q20" s="1">
        <f>P20*$R$4</f>
        <v>191484.375</v>
      </c>
    </row>
    <row r="21" spans="2:27" x14ac:dyDescent="0.2">
      <c r="O21" s="2" t="s">
        <v>34</v>
      </c>
      <c r="P21" s="13">
        <v>0.05</v>
      </c>
      <c r="Q21">
        <v>0.1</v>
      </c>
    </row>
    <row r="22" spans="2:27" ht="34" x14ac:dyDescent="0.2">
      <c r="O22" s="15" t="s">
        <v>37</v>
      </c>
      <c r="P22" s="14">
        <f>(P20*P19/P21)</f>
        <v>1612500</v>
      </c>
      <c r="Q22" s="14">
        <f>(Q20*Q19/Q21)</f>
        <v>9574218.75</v>
      </c>
    </row>
    <row r="23" spans="2:27" x14ac:dyDescent="0.2">
      <c r="O23" s="2" t="s">
        <v>39</v>
      </c>
      <c r="P23" s="14">
        <v>5810000000</v>
      </c>
      <c r="Q23" s="14">
        <v>5810000000</v>
      </c>
    </row>
    <row r="24" spans="2:27" x14ac:dyDescent="0.2">
      <c r="O24" s="2" t="s">
        <v>40</v>
      </c>
      <c r="P24" s="16">
        <f>P22/P23</f>
        <v>2.7753872633390705E-4</v>
      </c>
      <c r="Q24" s="16">
        <f>Q22/Q23</f>
        <v>1.6478861876075732E-3</v>
      </c>
    </row>
    <row r="25" spans="2:27" x14ac:dyDescent="0.2">
      <c r="O25" s="2" t="s">
        <v>41</v>
      </c>
      <c r="P25" s="17">
        <v>0.04</v>
      </c>
    </row>
    <row r="26" spans="2:27" x14ac:dyDescent="0.2">
      <c r="O26" s="2" t="s">
        <v>42</v>
      </c>
      <c r="P26" s="18">
        <f>P25/100</f>
        <v>4.0000000000000002E-4</v>
      </c>
    </row>
    <row r="30" spans="2:27" x14ac:dyDescent="0.2">
      <c r="B30" t="s">
        <v>161</v>
      </c>
    </row>
    <row r="31" spans="2:27" x14ac:dyDescent="0.2">
      <c r="B31" t="s">
        <v>83</v>
      </c>
    </row>
    <row r="32" spans="2:27" x14ac:dyDescent="0.2">
      <c r="P32" s="1"/>
    </row>
    <row r="33" spans="15:18" x14ac:dyDescent="0.2">
      <c r="P33" t="s">
        <v>155</v>
      </c>
    </row>
    <row r="34" spans="15:18" x14ac:dyDescent="0.2">
      <c r="O34" t="s">
        <v>162</v>
      </c>
      <c r="P34">
        <v>50</v>
      </c>
      <c r="Q34" s="1">
        <f>P35*(5*Q20)</f>
        <v>593.75</v>
      </c>
      <c r="R34" s="1"/>
    </row>
    <row r="35" spans="15:18" x14ac:dyDescent="0.2">
      <c r="O35" t="s">
        <v>165</v>
      </c>
      <c r="P35" s="1">
        <f>P34/(5*P20)</f>
        <v>6.2015503875968996E-4</v>
      </c>
    </row>
    <row r="36" spans="15:18" x14ac:dyDescent="0.2">
      <c r="O36" t="s">
        <v>163</v>
      </c>
      <c r="P36" s="1">
        <v>8000</v>
      </c>
      <c r="Q36" s="1">
        <f>Q34*P37</f>
        <v>95000</v>
      </c>
      <c r="R36" s="1"/>
    </row>
    <row r="37" spans="15:18" x14ac:dyDescent="0.2">
      <c r="O37" t="s">
        <v>164</v>
      </c>
      <c r="P37" s="90">
        <f>P36/P34</f>
        <v>160</v>
      </c>
    </row>
  </sheetData>
  <mergeCells count="10">
    <mergeCell ref="W3:AA3"/>
    <mergeCell ref="W12:AA12"/>
    <mergeCell ref="W6:Z6"/>
    <mergeCell ref="W7:Z7"/>
    <mergeCell ref="W8:Z8"/>
    <mergeCell ref="W17:Z17"/>
    <mergeCell ref="W18:Z18"/>
    <mergeCell ref="W19:Z19"/>
    <mergeCell ref="AA4:AA5"/>
    <mergeCell ref="AA13:AA16"/>
  </mergeCells>
  <pageMargins left="0.7" right="0.7" top="0.75" bottom="0.75" header="0.3" footer="0.3"/>
  <pageSetup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3F144-0068-344F-A19C-2945CA9942F0}">
  <sheetPr>
    <pageSetUpPr fitToPage="1"/>
  </sheetPr>
  <dimension ref="A2:Y38"/>
  <sheetViews>
    <sheetView zoomScale="134" zoomScaleNormal="120" workbookViewId="0">
      <selection activeCell="C23" sqref="C23"/>
    </sheetView>
  </sheetViews>
  <sheetFormatPr baseColWidth="10" defaultColWidth="10.6640625" defaultRowHeight="16" x14ac:dyDescent="0.2"/>
  <cols>
    <col min="1" max="1" width="16" bestFit="1" customWidth="1"/>
    <col min="2" max="2" width="10.6640625" bestFit="1" customWidth="1"/>
    <col min="3" max="3" width="4.83203125" bestFit="1" customWidth="1"/>
    <col min="4" max="4" width="31.6640625" customWidth="1"/>
    <col min="6" max="8" width="16.33203125" customWidth="1"/>
    <col min="10" max="12" width="16.33203125" customWidth="1"/>
    <col min="15" max="15" width="26.6640625" bestFit="1" customWidth="1"/>
    <col min="18" max="18" width="33.5" bestFit="1" customWidth="1"/>
  </cols>
  <sheetData>
    <row r="2" spans="1:8" x14ac:dyDescent="0.2">
      <c r="H2" s="1"/>
    </row>
    <row r="4" spans="1:8" x14ac:dyDescent="0.2">
      <c r="A4" s="52"/>
      <c r="B4" s="53" t="s">
        <v>20</v>
      </c>
      <c r="C4" s="52"/>
      <c r="D4" s="52"/>
    </row>
    <row r="5" spans="1:8" x14ac:dyDescent="0.2">
      <c r="A5" s="54" t="s">
        <v>21</v>
      </c>
      <c r="B5" s="54" t="s">
        <v>22</v>
      </c>
      <c r="C5" s="54" t="s">
        <v>23</v>
      </c>
      <c r="D5" s="54" t="s">
        <v>24</v>
      </c>
    </row>
    <row r="6" spans="1:8" x14ac:dyDescent="0.2">
      <c r="A6" s="55" t="s">
        <v>25</v>
      </c>
      <c r="B6" s="55">
        <v>4</v>
      </c>
      <c r="C6" s="55"/>
      <c r="D6" s="55" t="s">
        <v>113</v>
      </c>
    </row>
    <row r="7" spans="1:8" x14ac:dyDescent="0.2">
      <c r="A7" s="55" t="s">
        <v>26</v>
      </c>
      <c r="B7" s="55">
        <v>0</v>
      </c>
      <c r="C7" s="55">
        <v>8</v>
      </c>
      <c r="D7" s="55" t="s">
        <v>114</v>
      </c>
    </row>
    <row r="8" spans="1:8" x14ac:dyDescent="0.2">
      <c r="A8" s="55" t="s">
        <v>29</v>
      </c>
      <c r="B8" s="55">
        <v>56</v>
      </c>
      <c r="C8" s="55">
        <v>0</v>
      </c>
      <c r="D8" s="55" t="s">
        <v>117</v>
      </c>
    </row>
    <row r="9" spans="1:8" ht="25" x14ac:dyDescent="0.2">
      <c r="A9" s="55" t="s">
        <v>31</v>
      </c>
      <c r="B9" s="55">
        <v>20</v>
      </c>
      <c r="C9" s="55">
        <v>36</v>
      </c>
      <c r="D9" s="56" t="s">
        <v>118</v>
      </c>
    </row>
    <row r="10" spans="1:8" x14ac:dyDescent="0.2">
      <c r="A10" s="55" t="s">
        <v>33</v>
      </c>
      <c r="B10" s="55">
        <f>SUM(B6:B9)-9</f>
        <v>71</v>
      </c>
      <c r="C10" s="55">
        <f>SUM(C7:C9)</f>
        <v>44</v>
      </c>
      <c r="D10" s="94" t="s">
        <v>36</v>
      </c>
    </row>
    <row r="11" spans="1:8" ht="17" thickBot="1" x14ac:dyDescent="0.25">
      <c r="A11" s="57" t="s">
        <v>35</v>
      </c>
      <c r="B11" s="57">
        <f>B10/25</f>
        <v>2.84</v>
      </c>
      <c r="C11" s="58">
        <f>C10/20</f>
        <v>2.2000000000000002</v>
      </c>
      <c r="D11" s="94"/>
    </row>
    <row r="12" spans="1:8" ht="17" thickBot="1" x14ac:dyDescent="0.25">
      <c r="A12" s="59" t="s">
        <v>38</v>
      </c>
      <c r="B12" s="60">
        <f>SUM(B11:C11)</f>
        <v>5.04</v>
      </c>
      <c r="C12" s="52"/>
      <c r="D12" s="52"/>
    </row>
    <row r="27" spans="1:25" x14ac:dyDescent="0.2">
      <c r="V27" s="92" t="s">
        <v>43</v>
      </c>
      <c r="W27" s="93"/>
    </row>
    <row r="28" spans="1:25" ht="68" x14ac:dyDescent="0.2">
      <c r="S28" s="10" t="s">
        <v>44</v>
      </c>
      <c r="T28" s="10" t="s">
        <v>45</v>
      </c>
      <c r="U28" s="6" t="s">
        <v>46</v>
      </c>
      <c r="V28" s="6" t="s">
        <v>47</v>
      </c>
      <c r="W28" s="6" t="s">
        <v>48</v>
      </c>
      <c r="X28" s="6" t="s">
        <v>49</v>
      </c>
      <c r="Y28" s="6" t="s">
        <v>50</v>
      </c>
    </row>
    <row r="29" spans="1:25" ht="17" x14ac:dyDescent="0.2">
      <c r="S29" s="10">
        <v>1</v>
      </c>
      <c r="T29" s="6" t="s">
        <v>3</v>
      </c>
      <c r="U29" s="2">
        <v>0.9</v>
      </c>
      <c r="V29" s="2">
        <v>36.1</v>
      </c>
      <c r="W29" s="2">
        <f>1300-V29</f>
        <v>1263.9000000000001</v>
      </c>
      <c r="X29" s="2">
        <v>1.9E-2</v>
      </c>
      <c r="Y29" s="2">
        <v>12.5</v>
      </c>
    </row>
    <row r="30" spans="1:25" ht="18" thickBot="1" x14ac:dyDescent="0.25">
      <c r="A30" s="2" t="s">
        <v>0</v>
      </c>
      <c r="B30" s="3">
        <v>1</v>
      </c>
      <c r="C30" s="3">
        <v>2</v>
      </c>
      <c r="D30" s="3">
        <v>3</v>
      </c>
      <c r="E30" s="3">
        <v>4</v>
      </c>
      <c r="F30" s="3">
        <v>5</v>
      </c>
      <c r="G30" s="3">
        <v>6</v>
      </c>
      <c r="H30" s="3">
        <v>7</v>
      </c>
      <c r="I30" s="3">
        <v>8</v>
      </c>
      <c r="J30" s="3">
        <v>9</v>
      </c>
      <c r="K30" s="3">
        <v>10</v>
      </c>
      <c r="L30" s="3">
        <v>11</v>
      </c>
      <c r="M30" s="3">
        <v>12</v>
      </c>
      <c r="S30" s="10">
        <v>2</v>
      </c>
      <c r="T30" s="19" t="s">
        <v>51</v>
      </c>
      <c r="U30" s="2">
        <v>1.1000000000000001</v>
      </c>
      <c r="V30" s="2">
        <v>29.5</v>
      </c>
      <c r="W30" s="2">
        <f t="shared" ref="W30:W31" si="0">1300-V30</f>
        <v>1270.5</v>
      </c>
      <c r="X30" s="2">
        <v>0.02</v>
      </c>
      <c r="Y30" s="2">
        <v>12.5</v>
      </c>
    </row>
    <row r="31" spans="1:25" ht="34" x14ac:dyDescent="0.2">
      <c r="A31" s="5" t="s">
        <v>2</v>
      </c>
      <c r="B31" s="6" t="s">
        <v>52</v>
      </c>
      <c r="C31" s="6"/>
      <c r="D31" s="6"/>
      <c r="E31" s="7"/>
      <c r="F31" s="7"/>
      <c r="G31" s="19"/>
      <c r="H31" s="19"/>
      <c r="I31" s="19"/>
      <c r="J31" s="7"/>
      <c r="K31" s="7"/>
      <c r="L31" s="7"/>
      <c r="M31" s="7"/>
      <c r="S31" s="10">
        <v>3</v>
      </c>
      <c r="T31" s="19" t="s">
        <v>53</v>
      </c>
      <c r="U31" s="2">
        <v>1.27</v>
      </c>
      <c r="V31" s="2">
        <v>25.6</v>
      </c>
      <c r="W31" s="2">
        <f t="shared" si="0"/>
        <v>1274.4000000000001</v>
      </c>
      <c r="X31" s="2">
        <v>2.1000000000000001E-2</v>
      </c>
      <c r="Y31" s="2">
        <v>12.5</v>
      </c>
    </row>
    <row r="32" spans="1:25" x14ac:dyDescent="0.2">
      <c r="A32" s="5" t="s">
        <v>5</v>
      </c>
      <c r="B32" s="9">
        <v>0.1</v>
      </c>
      <c r="C32" s="2"/>
      <c r="D32" s="6"/>
      <c r="E32" s="6"/>
      <c r="F32" s="6"/>
      <c r="G32" s="6"/>
      <c r="H32" s="6"/>
      <c r="I32" s="6"/>
      <c r="J32" s="6"/>
      <c r="K32" s="6"/>
      <c r="L32" s="10"/>
      <c r="M32" s="2"/>
    </row>
    <row r="33" spans="1:13" x14ac:dyDescent="0.2">
      <c r="A33" s="5" t="s">
        <v>7</v>
      </c>
      <c r="B33" s="7">
        <f>B32/10</f>
        <v>0.01</v>
      </c>
      <c r="C33" s="7"/>
      <c r="D33" s="7"/>
      <c r="E33" s="6"/>
      <c r="F33" s="7"/>
      <c r="G33" s="7"/>
      <c r="H33" s="7"/>
      <c r="I33" s="6"/>
      <c r="J33" s="7"/>
      <c r="K33" s="7"/>
      <c r="L33" s="7"/>
      <c r="M33" s="2"/>
    </row>
    <row r="34" spans="1:13" x14ac:dyDescent="0.2">
      <c r="A34" s="5" t="s">
        <v>9</v>
      </c>
      <c r="B34" s="7">
        <f>B33/10</f>
        <v>1E-3</v>
      </c>
      <c r="C34" s="6"/>
      <c r="D34" s="6"/>
      <c r="E34" s="7"/>
      <c r="F34" s="7"/>
      <c r="G34" s="19"/>
      <c r="H34" s="19"/>
      <c r="I34" s="19"/>
      <c r="J34" s="7"/>
      <c r="K34" s="7"/>
      <c r="M34" s="2"/>
    </row>
    <row r="35" spans="1:13" x14ac:dyDescent="0.2">
      <c r="A35" s="5" t="s">
        <v>11</v>
      </c>
      <c r="B35" s="9">
        <v>0.1</v>
      </c>
      <c r="C35" s="11"/>
      <c r="D35" s="6"/>
      <c r="E35" s="10"/>
      <c r="F35" s="6"/>
      <c r="G35" s="6"/>
      <c r="H35" s="6"/>
      <c r="I35" s="10"/>
      <c r="J35" s="10"/>
      <c r="K35" s="10"/>
      <c r="L35" s="10"/>
      <c r="M35" s="2"/>
    </row>
    <row r="36" spans="1:13" x14ac:dyDescent="0.2">
      <c r="A36" s="5" t="s">
        <v>13</v>
      </c>
      <c r="B36" s="7">
        <f>B35/10</f>
        <v>0.01</v>
      </c>
      <c r="C36" s="10"/>
      <c r="D36" s="6"/>
      <c r="E36" s="10"/>
      <c r="F36" s="2"/>
      <c r="G36" s="10"/>
      <c r="H36" s="20"/>
      <c r="I36" s="10"/>
      <c r="J36" s="10"/>
      <c r="K36" s="10"/>
      <c r="L36" s="10"/>
      <c r="M36" s="2"/>
    </row>
    <row r="37" spans="1:13" x14ac:dyDescent="0.2">
      <c r="A37" s="5" t="s">
        <v>15</v>
      </c>
      <c r="B37" s="7">
        <f>B36/10</f>
        <v>1E-3</v>
      </c>
      <c r="C37" s="11"/>
      <c r="D37" s="6"/>
      <c r="E37" s="6"/>
      <c r="F37" s="6"/>
      <c r="G37" s="6"/>
      <c r="H37" s="6"/>
      <c r="I37" s="2"/>
      <c r="J37" s="6"/>
      <c r="K37" s="6"/>
      <c r="L37" s="6"/>
      <c r="M37" s="6"/>
    </row>
    <row r="38" spans="1:13" x14ac:dyDescent="0.2">
      <c r="A38" s="5" t="s">
        <v>17</v>
      </c>
      <c r="B38" s="9"/>
      <c r="C38" s="11"/>
      <c r="D38" s="6"/>
      <c r="E38" s="2"/>
      <c r="F38" s="2"/>
      <c r="G38" s="2"/>
      <c r="H38" s="8"/>
      <c r="I38" s="2"/>
      <c r="J38" s="2"/>
      <c r="K38" s="2"/>
      <c r="L38" s="2"/>
      <c r="M38" s="2"/>
    </row>
  </sheetData>
  <mergeCells count="2">
    <mergeCell ref="V27:W27"/>
    <mergeCell ref="D10:D11"/>
  </mergeCells>
  <pageMargins left="0.7" right="0.7" top="0.75" bottom="0.75" header="0.3" footer="0.3"/>
  <pageSetup scale="2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A7C-E09B-4F01-87CD-1344538A550F}">
  <dimension ref="A1:G13"/>
  <sheetViews>
    <sheetView workbookViewId="0">
      <selection activeCell="I14" sqref="I14"/>
    </sheetView>
  </sheetViews>
  <sheetFormatPr baseColWidth="10" defaultColWidth="10.6640625" defaultRowHeight="16" x14ac:dyDescent="0.2"/>
  <cols>
    <col min="1" max="1" width="8.5" bestFit="1" customWidth="1"/>
    <col min="2" max="2" width="10.1640625" bestFit="1" customWidth="1"/>
    <col min="3" max="3" width="10" bestFit="1" customWidth="1"/>
    <col min="4" max="4" width="8.6640625" bestFit="1" customWidth="1"/>
    <col min="5" max="5" width="9.83203125" bestFit="1" customWidth="1"/>
    <col min="6" max="6" width="6.6640625" bestFit="1" customWidth="1"/>
    <col min="7" max="7" width="14.83203125" bestFit="1" customWidth="1"/>
    <col min="8" max="8" width="7.83203125" bestFit="1" customWidth="1"/>
    <col min="9" max="9" width="13.1640625" bestFit="1" customWidth="1"/>
    <col min="14" max="14" width="26.6640625" bestFit="1" customWidth="1"/>
  </cols>
  <sheetData>
    <row r="1" spans="1:7" ht="34" customHeight="1" x14ac:dyDescent="0.2"/>
    <row r="4" spans="1:7" ht="17" thickBot="1" x14ac:dyDescent="0.25"/>
    <row r="5" spans="1:7" ht="17" thickBot="1" x14ac:dyDescent="0.25">
      <c r="A5" s="71" t="s">
        <v>116</v>
      </c>
      <c r="B5" s="72">
        <v>0.04</v>
      </c>
    </row>
    <row r="8" spans="1:7" x14ac:dyDescent="0.2">
      <c r="D8" s="95" t="s">
        <v>115</v>
      </c>
      <c r="E8" s="95"/>
    </row>
    <row r="9" spans="1:7" ht="51" x14ac:dyDescent="0.2">
      <c r="A9" s="10" t="s">
        <v>44</v>
      </c>
      <c r="B9" s="10" t="s">
        <v>45</v>
      </c>
      <c r="C9" s="6" t="s">
        <v>46</v>
      </c>
      <c r="D9" s="6" t="s">
        <v>47</v>
      </c>
      <c r="E9" s="6" t="s">
        <v>104</v>
      </c>
      <c r="F9" s="6" t="s">
        <v>49</v>
      </c>
      <c r="G9" s="6" t="s">
        <v>119</v>
      </c>
    </row>
    <row r="10" spans="1:7" ht="36" customHeight="1" x14ac:dyDescent="0.2">
      <c r="A10" s="10">
        <v>1</v>
      </c>
      <c r="B10" s="6" t="s">
        <v>3</v>
      </c>
      <c r="C10" s="2">
        <v>1.97</v>
      </c>
      <c r="D10" s="12">
        <f>1300*$B$5/C10</f>
        <v>26.395939086294415</v>
      </c>
      <c r="E10" s="12">
        <f>(1300-D10)</f>
        <v>1273.6040609137056</v>
      </c>
      <c r="F10" s="2">
        <v>3.5000000000000003E-2</v>
      </c>
      <c r="G10" s="70">
        <f>($B$5/100)*1500/F10</f>
        <v>17.142857142857142</v>
      </c>
    </row>
    <row r="11" spans="1:7" ht="36" customHeight="1" x14ac:dyDescent="0.2">
      <c r="A11" s="10">
        <v>2</v>
      </c>
      <c r="B11" s="23" t="s">
        <v>120</v>
      </c>
      <c r="C11" s="2">
        <v>2.19</v>
      </c>
      <c r="D11" s="12">
        <f t="shared" ref="D11:D13" si="0">1300*$B$5/C11</f>
        <v>23.744292237442924</v>
      </c>
      <c r="E11" s="12">
        <f t="shared" ref="E11:E13" si="1">(1300-D11)</f>
        <v>1276.255707762557</v>
      </c>
      <c r="F11" s="2">
        <v>3.7999999999999999E-2</v>
      </c>
      <c r="G11" s="70">
        <f t="shared" ref="G11:G13" si="2">($B$5/100)*1500/F11</f>
        <v>15.789473684210526</v>
      </c>
    </row>
    <row r="12" spans="1:7" ht="36" customHeight="1" x14ac:dyDescent="0.2">
      <c r="A12" s="10">
        <v>3</v>
      </c>
      <c r="B12" s="23" t="s">
        <v>121</v>
      </c>
      <c r="C12" s="2">
        <v>2.5</v>
      </c>
      <c r="D12" s="12">
        <f t="shared" si="0"/>
        <v>20.8</v>
      </c>
      <c r="E12" s="12">
        <f t="shared" si="1"/>
        <v>1279.2</v>
      </c>
      <c r="F12" s="2">
        <v>3.9E-2</v>
      </c>
      <c r="G12" s="70">
        <f t="shared" si="2"/>
        <v>15.384615384615383</v>
      </c>
    </row>
    <row r="13" spans="1:7" ht="36" customHeight="1" x14ac:dyDescent="0.2">
      <c r="A13" s="10">
        <v>4</v>
      </c>
      <c r="B13" s="23" t="s">
        <v>122</v>
      </c>
      <c r="C13" s="2">
        <v>2.48</v>
      </c>
      <c r="D13" s="12">
        <f t="shared" si="0"/>
        <v>20.967741935483872</v>
      </c>
      <c r="E13" s="12">
        <f t="shared" si="1"/>
        <v>1279.0322580645161</v>
      </c>
      <c r="F13" s="2">
        <v>3.5000000000000003E-2</v>
      </c>
      <c r="G13" s="70">
        <f t="shared" si="2"/>
        <v>17.142857142857142</v>
      </c>
    </row>
  </sheetData>
  <mergeCells count="1">
    <mergeCell ref="D8:E8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44700-43F2-4A60-9083-142E0D60CEE8}">
  <sheetPr>
    <pageSetUpPr fitToPage="1"/>
  </sheetPr>
  <dimension ref="A1:N22"/>
  <sheetViews>
    <sheetView showRuler="0" workbookViewId="0">
      <selection activeCell="L3" sqref="L3:L9"/>
    </sheetView>
  </sheetViews>
  <sheetFormatPr baseColWidth="10" defaultColWidth="10.6640625" defaultRowHeight="16" x14ac:dyDescent="0.2"/>
  <cols>
    <col min="1" max="1" width="15.6640625" bestFit="1" customWidth="1"/>
    <col min="2" max="2" width="9" bestFit="1" customWidth="1"/>
    <col min="3" max="3" width="8.6640625" customWidth="1"/>
    <col min="4" max="5" width="6" bestFit="1" customWidth="1"/>
    <col min="6" max="6" width="8.1640625" bestFit="1" customWidth="1"/>
    <col min="7" max="8" width="9.33203125" bestFit="1" customWidth="1"/>
    <col min="9" max="9" width="10.1640625" customWidth="1"/>
    <col min="10" max="11" width="8.83203125" bestFit="1" customWidth="1"/>
    <col min="12" max="12" width="13.1640625" bestFit="1" customWidth="1"/>
    <col min="13" max="13" width="10.1640625" bestFit="1" customWidth="1"/>
  </cols>
  <sheetData>
    <row r="1" spans="1:14" x14ac:dyDescent="0.2">
      <c r="A1" s="24" t="s">
        <v>55</v>
      </c>
      <c r="B1" s="25"/>
      <c r="C1" s="98"/>
      <c r="D1" s="98"/>
      <c r="E1" s="98"/>
    </row>
    <row r="2" spans="1:14" ht="51" x14ac:dyDescent="0.2">
      <c r="A2" s="24"/>
      <c r="B2" s="26" t="s">
        <v>56</v>
      </c>
      <c r="C2" s="24">
        <v>2</v>
      </c>
      <c r="D2" s="24">
        <v>3</v>
      </c>
      <c r="E2" s="27">
        <v>4</v>
      </c>
      <c r="F2" s="28" t="s">
        <v>57</v>
      </c>
      <c r="G2" s="28" t="s">
        <v>58</v>
      </c>
      <c r="H2" s="28" t="s">
        <v>59</v>
      </c>
      <c r="I2" s="28" t="s">
        <v>60</v>
      </c>
      <c r="J2" s="28" t="s">
        <v>61</v>
      </c>
      <c r="K2" s="28" t="s">
        <v>60</v>
      </c>
      <c r="L2" s="29" t="s">
        <v>128</v>
      </c>
    </row>
    <row r="3" spans="1:14" x14ac:dyDescent="0.2">
      <c r="A3" s="99" t="s">
        <v>3</v>
      </c>
      <c r="B3" s="30" t="s">
        <v>62</v>
      </c>
      <c r="C3" s="13" t="s">
        <v>63</v>
      </c>
      <c r="D3" s="13" t="s">
        <v>63</v>
      </c>
      <c r="E3" s="13">
        <v>21</v>
      </c>
      <c r="F3" s="13">
        <v>1E-3</v>
      </c>
      <c r="G3" s="14">
        <f>E3/(F3*0.01)</f>
        <v>2100000</v>
      </c>
      <c r="H3" s="8">
        <f>AVERAGE(G3:G4)</f>
        <v>3250000</v>
      </c>
      <c r="I3" s="8">
        <f>STDEV(G3:G4)</f>
        <v>1626345.5967290592</v>
      </c>
      <c r="J3" s="8">
        <f>H3*0.05</f>
        <v>162500</v>
      </c>
      <c r="K3" s="8">
        <f>I3*0.05</f>
        <v>81317.279836452974</v>
      </c>
      <c r="L3" s="12">
        <f>J3/16100</f>
        <v>10.093167701863354</v>
      </c>
    </row>
    <row r="4" spans="1:14" x14ac:dyDescent="0.2">
      <c r="A4" s="100"/>
      <c r="B4" s="30" t="s">
        <v>64</v>
      </c>
      <c r="C4" s="13" t="s">
        <v>63</v>
      </c>
      <c r="D4" s="13" t="s">
        <v>63</v>
      </c>
      <c r="E4" s="13">
        <v>44</v>
      </c>
      <c r="F4" s="13">
        <v>1E-3</v>
      </c>
      <c r="G4" s="14">
        <f t="shared" ref="G4:G10" si="0">E4/(F4*0.01)</f>
        <v>4400000</v>
      </c>
      <c r="H4" s="8"/>
      <c r="I4" s="8"/>
      <c r="J4" s="8"/>
      <c r="K4" s="8"/>
      <c r="L4" s="12"/>
      <c r="N4" s="1"/>
    </row>
    <row r="5" spans="1:14" x14ac:dyDescent="0.2">
      <c r="A5" s="96" t="s">
        <v>125</v>
      </c>
      <c r="B5" s="30" t="s">
        <v>65</v>
      </c>
      <c r="C5" s="13" t="s">
        <v>63</v>
      </c>
      <c r="D5" s="13" t="s">
        <v>63</v>
      </c>
      <c r="E5" s="13">
        <v>31</v>
      </c>
      <c r="F5" s="13">
        <v>1E-3</v>
      </c>
      <c r="G5" s="14">
        <f t="shared" si="0"/>
        <v>3099999.9999999995</v>
      </c>
      <c r="H5" s="8">
        <f>AVERAGE(G5:G6)</f>
        <v>2900000</v>
      </c>
      <c r="I5" s="8">
        <f>STDEV(G5:G6)</f>
        <v>282842.71247461869</v>
      </c>
      <c r="J5" s="8">
        <f>H5*0.05</f>
        <v>145000</v>
      </c>
      <c r="K5" s="8">
        <f>I5*0.05</f>
        <v>14142.135623730936</v>
      </c>
      <c r="L5" s="12">
        <f>J5/16100</f>
        <v>9.0062111801242235</v>
      </c>
    </row>
    <row r="6" spans="1:14" x14ac:dyDescent="0.2">
      <c r="A6" s="97"/>
      <c r="B6" s="30" t="s">
        <v>66</v>
      </c>
      <c r="C6" s="13" t="s">
        <v>63</v>
      </c>
      <c r="D6" s="13" t="s">
        <v>63</v>
      </c>
      <c r="E6" s="13">
        <v>27</v>
      </c>
      <c r="F6" s="13">
        <v>1E-3</v>
      </c>
      <c r="G6" s="14">
        <f t="shared" si="0"/>
        <v>2700000</v>
      </c>
      <c r="H6" s="21"/>
      <c r="I6" s="21"/>
      <c r="J6" s="8"/>
      <c r="K6" s="8"/>
      <c r="L6" s="12"/>
    </row>
    <row r="7" spans="1:14" ht="16" customHeight="1" x14ac:dyDescent="0.2">
      <c r="A7" s="96" t="s">
        <v>126</v>
      </c>
      <c r="B7" s="30" t="s">
        <v>67</v>
      </c>
      <c r="C7" s="13" t="s">
        <v>63</v>
      </c>
      <c r="D7" s="13" t="s">
        <v>63</v>
      </c>
      <c r="E7" s="13">
        <v>23</v>
      </c>
      <c r="F7" s="13">
        <v>1E-3</v>
      </c>
      <c r="G7" s="14">
        <f t="shared" si="0"/>
        <v>2300000</v>
      </c>
      <c r="H7" s="8">
        <f>AVERAGE(G7:G8)</f>
        <v>2800000</v>
      </c>
      <c r="I7" s="8">
        <f>STDEV(G7:G8)</f>
        <v>707106.7811865448</v>
      </c>
      <c r="J7" s="8">
        <f>H7*0.05</f>
        <v>140000</v>
      </c>
      <c r="K7" s="8">
        <f>I7*0.05</f>
        <v>35355.339059327242</v>
      </c>
      <c r="L7" s="12">
        <f>J7/16100</f>
        <v>8.695652173913043</v>
      </c>
    </row>
    <row r="8" spans="1:14" x14ac:dyDescent="0.2">
      <c r="A8" s="97"/>
      <c r="B8" s="30" t="s">
        <v>68</v>
      </c>
      <c r="C8" s="13" t="s">
        <v>63</v>
      </c>
      <c r="D8" s="13" t="s">
        <v>63</v>
      </c>
      <c r="E8" s="13">
        <v>33</v>
      </c>
      <c r="F8" s="13">
        <v>1E-3</v>
      </c>
      <c r="G8" s="14">
        <f t="shared" si="0"/>
        <v>3299999.9999999995</v>
      </c>
      <c r="H8" s="21"/>
      <c r="I8" s="21"/>
      <c r="J8" s="8"/>
      <c r="K8" s="8"/>
      <c r="L8" s="12"/>
    </row>
    <row r="9" spans="1:14" ht="16" customHeight="1" x14ac:dyDescent="0.2">
      <c r="A9" s="96" t="s">
        <v>127</v>
      </c>
      <c r="B9" s="30" t="s">
        <v>123</v>
      </c>
      <c r="C9" s="13" t="s">
        <v>63</v>
      </c>
      <c r="D9" s="13" t="s">
        <v>63</v>
      </c>
      <c r="E9" s="13">
        <v>25</v>
      </c>
      <c r="F9" s="13">
        <v>1E-3</v>
      </c>
      <c r="G9" s="14">
        <f t="shared" si="0"/>
        <v>2500000</v>
      </c>
      <c r="H9" s="8">
        <f>AVERAGE(G9:G10)</f>
        <v>2350000</v>
      </c>
      <c r="I9" s="8">
        <f>STDEV(G9:G10)</f>
        <v>212132.03435596425</v>
      </c>
      <c r="J9" s="8">
        <f>H9*0.05</f>
        <v>117500</v>
      </c>
      <c r="K9" s="8">
        <f>I9*0.05</f>
        <v>10606.601717798214</v>
      </c>
      <c r="L9" s="12">
        <f>J9/16100</f>
        <v>7.2981366459627326</v>
      </c>
    </row>
    <row r="10" spans="1:14" x14ac:dyDescent="0.2">
      <c r="A10" s="97"/>
      <c r="B10" s="30" t="s">
        <v>124</v>
      </c>
      <c r="C10" s="13" t="s">
        <v>63</v>
      </c>
      <c r="D10" s="13" t="s">
        <v>63</v>
      </c>
      <c r="E10" s="13">
        <v>22</v>
      </c>
      <c r="F10" s="13">
        <v>1E-3</v>
      </c>
      <c r="G10" s="14">
        <f t="shared" si="0"/>
        <v>2200000</v>
      </c>
      <c r="H10" s="21"/>
      <c r="I10" s="21"/>
      <c r="J10" s="8"/>
      <c r="K10" s="8"/>
      <c r="L10" s="12"/>
    </row>
    <row r="11" spans="1:14" x14ac:dyDescent="0.2">
      <c r="A11" s="2" t="s">
        <v>69</v>
      </c>
      <c r="B11" s="2"/>
      <c r="C11" s="2">
        <v>0.1</v>
      </c>
      <c r="D11" s="2">
        <f>C11/10</f>
        <v>0.01</v>
      </c>
      <c r="E11" s="2">
        <f>D11/10</f>
        <v>1E-3</v>
      </c>
    </row>
    <row r="13" spans="1:14" x14ac:dyDescent="0.2">
      <c r="A13" s="73" t="s">
        <v>45</v>
      </c>
      <c r="B13" s="73" t="s">
        <v>61</v>
      </c>
      <c r="C13" s="73" t="s">
        <v>60</v>
      </c>
    </row>
    <row r="14" spans="1:14" ht="17" x14ac:dyDescent="0.2">
      <c r="A14" s="6" t="s">
        <v>3</v>
      </c>
      <c r="B14" s="8">
        <f>J3</f>
        <v>162500</v>
      </c>
      <c r="C14" s="8">
        <f>K3</f>
        <v>81317.279836452974</v>
      </c>
    </row>
    <row r="15" spans="1:14" ht="17" x14ac:dyDescent="0.2">
      <c r="A15" s="6" t="s">
        <v>129</v>
      </c>
      <c r="B15" s="8">
        <f>J5</f>
        <v>145000</v>
      </c>
      <c r="C15" s="8">
        <f>K5</f>
        <v>14142.135623730936</v>
      </c>
    </row>
    <row r="16" spans="1:14" ht="16" customHeight="1" x14ac:dyDescent="0.2">
      <c r="A16" s="6" t="s">
        <v>130</v>
      </c>
      <c r="B16" s="8">
        <f>J7</f>
        <v>140000</v>
      </c>
      <c r="C16" s="8">
        <f>K7</f>
        <v>35355.339059327242</v>
      </c>
    </row>
    <row r="17" spans="1:3" ht="17" x14ac:dyDescent="0.2">
      <c r="A17" s="6" t="s">
        <v>131</v>
      </c>
      <c r="B17" s="8">
        <f>J9</f>
        <v>117500</v>
      </c>
      <c r="C17" s="8">
        <f>K9</f>
        <v>10606.601717798214</v>
      </c>
    </row>
    <row r="22" spans="1:3" ht="16" customHeight="1" x14ac:dyDescent="0.2"/>
  </sheetData>
  <mergeCells count="5">
    <mergeCell ref="A9:A10"/>
    <mergeCell ref="C1:E1"/>
    <mergeCell ref="A3:A4"/>
    <mergeCell ref="A5:A6"/>
    <mergeCell ref="A7:A8"/>
  </mergeCells>
  <pageMargins left="0.75" right="0.75" top="1" bottom="1" header="0.5" footer="0.5"/>
  <pageSetup scale="60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FC96-511D-4F07-A849-4459F95A19A4}">
  <sheetPr>
    <pageSetUpPr fitToPage="1"/>
  </sheetPr>
  <dimension ref="A1:AB37"/>
  <sheetViews>
    <sheetView showRuler="0" topLeftCell="H2" zoomScale="110" zoomScaleNormal="110" workbookViewId="0">
      <selection activeCell="N3" sqref="N3"/>
    </sheetView>
  </sheetViews>
  <sheetFormatPr baseColWidth="10" defaultColWidth="10.6640625" defaultRowHeight="16" x14ac:dyDescent="0.2"/>
  <cols>
    <col min="1" max="2" width="17.33203125" customWidth="1"/>
    <col min="3" max="3" width="5.5" bestFit="1" customWidth="1"/>
    <col min="4" max="5" width="7" bestFit="1" customWidth="1"/>
    <col min="6" max="6" width="8.1640625" bestFit="1" customWidth="1"/>
    <col min="7" max="7" width="8.33203125" bestFit="1" customWidth="1"/>
    <col min="8" max="8" width="8.83203125" bestFit="1" customWidth="1"/>
    <col min="9" max="9" width="8.1640625" customWidth="1"/>
    <col min="11" max="11" width="2.1640625" bestFit="1" customWidth="1"/>
    <col min="12" max="12" width="17" customWidth="1"/>
    <col min="13" max="13" width="9" bestFit="1" customWidth="1"/>
    <col min="14" max="15" width="8.83203125" bestFit="1" customWidth="1"/>
    <col min="16" max="16" width="7.6640625" bestFit="1" customWidth="1"/>
    <col min="17" max="17" width="6" bestFit="1" customWidth="1"/>
    <col min="18" max="18" width="7.33203125" bestFit="1" customWidth="1"/>
  </cols>
  <sheetData>
    <row r="1" spans="1:28" x14ac:dyDescent="0.2">
      <c r="A1" s="4"/>
      <c r="B1" s="4"/>
      <c r="C1" s="4"/>
      <c r="F1" s="4"/>
      <c r="G1" s="4"/>
      <c r="H1" s="25"/>
      <c r="I1" s="25"/>
      <c r="J1" s="25"/>
      <c r="K1" s="51"/>
      <c r="L1" s="31"/>
      <c r="M1" s="31"/>
      <c r="N1" s="31"/>
      <c r="O1" s="32"/>
      <c r="P1" s="32"/>
    </row>
    <row r="2" spans="1:28" ht="51" x14ac:dyDescent="0.2">
      <c r="A2" s="24"/>
      <c r="B2" s="24" t="s">
        <v>133</v>
      </c>
      <c r="C2" s="33" t="s">
        <v>70</v>
      </c>
      <c r="D2" s="33" t="s">
        <v>71</v>
      </c>
      <c r="E2" s="33" t="s">
        <v>72</v>
      </c>
      <c r="F2" s="29" t="s">
        <v>57</v>
      </c>
      <c r="G2" s="29" t="s">
        <v>73</v>
      </c>
      <c r="H2" s="29" t="s">
        <v>74</v>
      </c>
      <c r="I2" s="29" t="s">
        <v>75</v>
      </c>
      <c r="K2" s="30" t="s">
        <v>103</v>
      </c>
      <c r="L2" s="2"/>
      <c r="M2" s="2" t="s">
        <v>133</v>
      </c>
      <c r="N2" s="28" t="s">
        <v>76</v>
      </c>
      <c r="O2" s="24" t="s">
        <v>77</v>
      </c>
      <c r="P2" s="34" t="s">
        <v>78</v>
      </c>
      <c r="Q2" s="33" t="s">
        <v>75</v>
      </c>
      <c r="R2" s="29" t="s">
        <v>79</v>
      </c>
    </row>
    <row r="3" spans="1:28" ht="17" x14ac:dyDescent="0.2">
      <c r="A3" s="101" t="s">
        <v>3</v>
      </c>
      <c r="B3" s="43" t="s">
        <v>137</v>
      </c>
      <c r="C3" s="10" t="s">
        <v>62</v>
      </c>
      <c r="D3" s="35">
        <v>8</v>
      </c>
      <c r="E3" s="35">
        <v>1</v>
      </c>
      <c r="F3" s="13">
        <v>1</v>
      </c>
      <c r="G3" s="21">
        <f t="shared" ref="G3:G11" si="0">AVERAGE(D3,E3)</f>
        <v>4.5</v>
      </c>
      <c r="H3" s="8">
        <f>(G3/(0.06*F3))*0.2</f>
        <v>15</v>
      </c>
      <c r="I3" s="104">
        <f>TTEST(H3:H5,H3:H5,2,2)</f>
        <v>1</v>
      </c>
      <c r="J3" s="1"/>
      <c r="K3" s="61">
        <v>1</v>
      </c>
      <c r="L3" s="6" t="s">
        <v>3</v>
      </c>
      <c r="M3" s="6" t="s">
        <v>141</v>
      </c>
      <c r="N3" s="8">
        <f>AVERAGE(H3:H5)</f>
        <v>10</v>
      </c>
      <c r="O3" s="8">
        <f>STDEV(H3:H5)</f>
        <v>5</v>
      </c>
      <c r="P3" s="12">
        <v>10.093167701863354</v>
      </c>
      <c r="Q3" s="17"/>
      <c r="R3" s="22">
        <f t="shared" ref="R3:R9" si="1">IF(N3/$N$3&gt;=1,N3/$N$3,-$N$3/N3)</f>
        <v>1</v>
      </c>
      <c r="S3" s="39"/>
      <c r="U3" s="1"/>
      <c r="W3" s="1"/>
      <c r="X3" s="1"/>
      <c r="Y3" s="1"/>
      <c r="Z3" s="1"/>
      <c r="AA3" s="1"/>
      <c r="AB3" s="1"/>
    </row>
    <row r="4" spans="1:28" ht="17" x14ac:dyDescent="0.2">
      <c r="A4" s="102"/>
      <c r="B4" s="44"/>
      <c r="C4" s="10" t="s">
        <v>64</v>
      </c>
      <c r="D4" s="35">
        <v>1</v>
      </c>
      <c r="E4" s="35">
        <v>2</v>
      </c>
      <c r="F4" s="13">
        <v>1</v>
      </c>
      <c r="G4" s="21">
        <f t="shared" si="0"/>
        <v>1.5</v>
      </c>
      <c r="H4" s="8">
        <f t="shared" ref="H4:H26" si="2">(G4/(0.06*F4))*0.2</f>
        <v>5</v>
      </c>
      <c r="I4" s="104"/>
      <c r="K4" s="30">
        <v>2</v>
      </c>
      <c r="L4" s="6" t="s">
        <v>140</v>
      </c>
      <c r="M4" s="6" t="s">
        <v>141</v>
      </c>
      <c r="N4" s="8">
        <f>AVERAGE(H6:H8)</f>
        <v>18.888888888888889</v>
      </c>
      <c r="O4" s="8">
        <f>STDEV(H6:H8)</f>
        <v>10.715167512214398</v>
      </c>
      <c r="P4" s="12">
        <v>9.0062111801242235</v>
      </c>
      <c r="Q4" s="17">
        <f>TTEST(H3:H5,H6:H8,2,2)</f>
        <v>0.26281170003284632</v>
      </c>
      <c r="R4" s="22">
        <f t="shared" si="1"/>
        <v>1.8888888888888888</v>
      </c>
      <c r="S4" s="39"/>
    </row>
    <row r="5" spans="1:28" ht="17" x14ac:dyDescent="0.2">
      <c r="A5" s="103"/>
      <c r="B5" s="45"/>
      <c r="C5" s="10" t="s">
        <v>80</v>
      </c>
      <c r="D5" s="35">
        <v>4</v>
      </c>
      <c r="E5" s="35">
        <v>2</v>
      </c>
      <c r="F5" s="13">
        <v>1</v>
      </c>
      <c r="G5" s="21">
        <f t="shared" si="0"/>
        <v>3</v>
      </c>
      <c r="H5" s="8">
        <f t="shared" si="2"/>
        <v>10</v>
      </c>
      <c r="I5" s="104"/>
      <c r="K5" s="30">
        <v>3</v>
      </c>
      <c r="L5" s="6" t="s">
        <v>139</v>
      </c>
      <c r="M5" s="6" t="s">
        <v>141</v>
      </c>
      <c r="N5" s="8">
        <f>AVERAGE(H9:H11)</f>
        <v>27.222222222222229</v>
      </c>
      <c r="O5" s="8">
        <f>STDEV(H9:H11)</f>
        <v>14.561491580090172</v>
      </c>
      <c r="P5" s="12">
        <v>8.695652173913043</v>
      </c>
      <c r="Q5" s="17">
        <f>TTEST(H3:H5,H9:H11,2,2)</f>
        <v>0.12473518694204083</v>
      </c>
      <c r="R5" s="22">
        <f t="shared" si="1"/>
        <v>2.7222222222222228</v>
      </c>
      <c r="S5" s="39"/>
    </row>
    <row r="6" spans="1:28" ht="15" customHeight="1" x14ac:dyDescent="0.2">
      <c r="A6" s="99" t="s">
        <v>134</v>
      </c>
      <c r="B6" s="77" t="s">
        <v>137</v>
      </c>
      <c r="C6" s="10" t="s">
        <v>65</v>
      </c>
      <c r="D6" s="35">
        <v>6</v>
      </c>
      <c r="E6" s="35">
        <v>10</v>
      </c>
      <c r="F6" s="13">
        <v>1</v>
      </c>
      <c r="G6" s="2">
        <f t="shared" si="0"/>
        <v>8</v>
      </c>
      <c r="H6" s="8">
        <f t="shared" si="2"/>
        <v>26.666666666666671</v>
      </c>
      <c r="I6" s="104">
        <f>TTEST(H6:H8,H3:H5,2,2)</f>
        <v>0.26281170003284632</v>
      </c>
      <c r="K6" s="30">
        <v>4</v>
      </c>
      <c r="L6" s="6" t="s">
        <v>112</v>
      </c>
      <c r="M6" s="6" t="s">
        <v>141</v>
      </c>
      <c r="N6" s="8">
        <f>AVERAGE(H12:H14)</f>
        <v>70.555555555555557</v>
      </c>
      <c r="O6" s="8">
        <f>STDEV(H12:H14)</f>
        <v>74.690720331937513</v>
      </c>
      <c r="P6" s="12">
        <v>7.2981366459627326</v>
      </c>
      <c r="Q6" s="17">
        <f>TTEST(H3:H5,H12:H14,2,2)</f>
        <v>0.23378934430483916</v>
      </c>
      <c r="R6" s="22">
        <f t="shared" si="1"/>
        <v>7.0555555555555554</v>
      </c>
      <c r="S6" s="39"/>
    </row>
    <row r="7" spans="1:28" ht="15" customHeight="1" x14ac:dyDescent="0.2">
      <c r="A7" s="105"/>
      <c r="B7" s="42"/>
      <c r="C7" s="10" t="s">
        <v>66</v>
      </c>
      <c r="D7" s="35">
        <v>6</v>
      </c>
      <c r="E7" s="35">
        <v>8</v>
      </c>
      <c r="F7" s="13">
        <v>1</v>
      </c>
      <c r="G7" s="2">
        <f t="shared" si="0"/>
        <v>7</v>
      </c>
      <c r="H7" s="8">
        <f t="shared" si="2"/>
        <v>23.333333333333336</v>
      </c>
      <c r="I7" s="104"/>
      <c r="K7" s="30">
        <v>5</v>
      </c>
      <c r="L7" s="6" t="s">
        <v>3</v>
      </c>
      <c r="M7" s="30" t="s">
        <v>138</v>
      </c>
      <c r="N7" s="8">
        <f>AVERAGE(H15:H17)</f>
        <v>10.555555555555557</v>
      </c>
      <c r="O7" s="8">
        <f>STDEV(H15:H17)</f>
        <v>8.5526690657448032</v>
      </c>
      <c r="P7" s="12">
        <v>10.093167701863354</v>
      </c>
      <c r="Q7" s="17">
        <f>TTEST(H3:H5,H15:H17,2,2)</f>
        <v>0.92729637969499146</v>
      </c>
      <c r="R7" s="22">
        <f t="shared" si="1"/>
        <v>1.0555555555555558</v>
      </c>
      <c r="S7" s="39"/>
    </row>
    <row r="8" spans="1:28" ht="17" x14ac:dyDescent="0.2">
      <c r="A8" s="100"/>
      <c r="B8" s="40"/>
      <c r="C8" s="10" t="s">
        <v>81</v>
      </c>
      <c r="D8" s="35">
        <v>1</v>
      </c>
      <c r="E8" s="35">
        <v>3</v>
      </c>
      <c r="F8" s="13">
        <v>1</v>
      </c>
      <c r="G8" s="2">
        <f t="shared" si="0"/>
        <v>2</v>
      </c>
      <c r="H8" s="8">
        <f t="shared" si="2"/>
        <v>6.6666666666666679</v>
      </c>
      <c r="I8" s="104"/>
      <c r="K8" s="30">
        <v>6</v>
      </c>
      <c r="L8" s="6" t="s">
        <v>140</v>
      </c>
      <c r="M8" s="6" t="s">
        <v>138</v>
      </c>
      <c r="N8" s="8">
        <f>AVERAGE(H18:H20)</f>
        <v>10.000000000000002</v>
      </c>
      <c r="O8" s="8">
        <f>STDEV(H18:H20)</f>
        <v>9.2796072713833713</v>
      </c>
      <c r="P8" s="12">
        <v>9.0062111801242235</v>
      </c>
      <c r="Q8" s="17">
        <f>TTEST(H3:H5,H18:H20,2,2)</f>
        <v>1</v>
      </c>
      <c r="R8" s="22">
        <f t="shared" si="1"/>
        <v>1.0000000000000002</v>
      </c>
      <c r="S8" s="39"/>
    </row>
    <row r="9" spans="1:28" ht="15" customHeight="1" x14ac:dyDescent="0.2">
      <c r="A9" s="96" t="s">
        <v>126</v>
      </c>
      <c r="B9" s="77" t="s">
        <v>137</v>
      </c>
      <c r="C9" s="10" t="s">
        <v>67</v>
      </c>
      <c r="D9" s="35">
        <v>17</v>
      </c>
      <c r="E9" s="35">
        <v>9</v>
      </c>
      <c r="F9" s="13">
        <v>1</v>
      </c>
      <c r="G9" s="2">
        <f t="shared" si="0"/>
        <v>13</v>
      </c>
      <c r="H9" s="8">
        <f t="shared" si="2"/>
        <v>43.333333333333343</v>
      </c>
      <c r="I9" s="104">
        <f>TTEST(H9:H11,H3:H5,2,2)</f>
        <v>0.12473518694204083</v>
      </c>
      <c r="K9" s="74">
        <v>7</v>
      </c>
      <c r="L9" s="6" t="s">
        <v>139</v>
      </c>
      <c r="M9" s="74" t="s">
        <v>138</v>
      </c>
      <c r="N9" s="8">
        <f>AVERAGE(H21:H23)</f>
        <v>9.4444444444444446</v>
      </c>
      <c r="O9" s="8">
        <f>STDEV(H21:H23)</f>
        <v>7.876359377087681</v>
      </c>
      <c r="P9" s="12">
        <v>8.695652173913043</v>
      </c>
      <c r="Q9" s="17">
        <f>TTEST(H3:H5,H21:H23,2,2)</f>
        <v>0.92281437546872724</v>
      </c>
      <c r="R9" s="22">
        <f t="shared" si="1"/>
        <v>-1.0588235294117647</v>
      </c>
      <c r="S9" s="39"/>
    </row>
    <row r="10" spans="1:28" ht="17" x14ac:dyDescent="0.2">
      <c r="A10" s="105"/>
      <c r="B10" s="42"/>
      <c r="C10" s="10" t="s">
        <v>68</v>
      </c>
      <c r="D10" s="35">
        <v>11</v>
      </c>
      <c r="E10" s="35">
        <v>3</v>
      </c>
      <c r="F10" s="13">
        <v>1</v>
      </c>
      <c r="G10" s="2">
        <f t="shared" si="0"/>
        <v>7</v>
      </c>
      <c r="H10" s="8">
        <f t="shared" si="2"/>
        <v>23.333333333333336</v>
      </c>
      <c r="I10" s="104"/>
      <c r="K10" s="74">
        <v>8</v>
      </c>
      <c r="L10" s="6" t="s">
        <v>112</v>
      </c>
      <c r="M10" s="74" t="s">
        <v>138</v>
      </c>
      <c r="N10" s="8">
        <f>AVERAGE(H24:H26)</f>
        <v>20</v>
      </c>
      <c r="O10" s="8">
        <f>STDEV(H24:H26)</f>
        <v>22.422706745122852</v>
      </c>
      <c r="P10" s="12">
        <v>7.2981366459627326</v>
      </c>
      <c r="Q10" s="17">
        <f>TTEST(H3:H5,H24:H26,2,2)</f>
        <v>0.49283780205338829</v>
      </c>
      <c r="R10" s="22">
        <f t="shared" ref="R10" si="3">IF(N10/$N$3&gt;=1,N10/$N$3,-$N$3/N10)</f>
        <v>2</v>
      </c>
      <c r="S10" s="39"/>
    </row>
    <row r="11" spans="1:28" ht="15" customHeight="1" x14ac:dyDescent="0.2">
      <c r="A11" s="100"/>
      <c r="B11" s="40"/>
      <c r="C11" s="10" t="s">
        <v>82</v>
      </c>
      <c r="D11" s="35">
        <v>6</v>
      </c>
      <c r="E11" s="35">
        <v>3</v>
      </c>
      <c r="F11" s="13">
        <v>1</v>
      </c>
      <c r="G11" s="2">
        <f t="shared" si="0"/>
        <v>4.5</v>
      </c>
      <c r="H11" s="8">
        <f t="shared" si="2"/>
        <v>15</v>
      </c>
      <c r="I11" s="104"/>
      <c r="L11" s="41"/>
      <c r="M11" s="41"/>
      <c r="N11" s="38"/>
      <c r="O11" s="38"/>
      <c r="P11" s="46"/>
      <c r="Q11" s="48"/>
      <c r="R11" s="47"/>
      <c r="S11" s="39"/>
    </row>
    <row r="12" spans="1:28" x14ac:dyDescent="0.2">
      <c r="A12" s="101" t="s">
        <v>135</v>
      </c>
      <c r="B12" s="77" t="s">
        <v>137</v>
      </c>
      <c r="C12" s="10" t="s">
        <v>123</v>
      </c>
      <c r="D12" s="35">
        <v>7</v>
      </c>
      <c r="E12" s="35">
        <v>7</v>
      </c>
      <c r="F12" s="13">
        <v>1</v>
      </c>
      <c r="G12" s="2">
        <f t="shared" ref="G12:G23" si="4">AVERAGE(D12,E12)</f>
        <v>7</v>
      </c>
      <c r="H12" s="8">
        <f t="shared" si="2"/>
        <v>23.333333333333336</v>
      </c>
      <c r="I12" s="104">
        <f>TTEST(H12:H14,H3:H5,2,2)</f>
        <v>0.23378934430483916</v>
      </c>
      <c r="L12" s="41"/>
      <c r="M12" s="41"/>
      <c r="N12" s="38"/>
      <c r="O12" s="38"/>
      <c r="P12" s="46"/>
      <c r="Q12" s="48"/>
      <c r="R12" s="47"/>
      <c r="S12" s="39"/>
    </row>
    <row r="13" spans="1:28" ht="15" customHeight="1" x14ac:dyDescent="0.2">
      <c r="A13" s="102"/>
      <c r="B13" s="44"/>
      <c r="C13" s="10" t="s">
        <v>124</v>
      </c>
      <c r="D13" s="35">
        <v>50</v>
      </c>
      <c r="E13" s="35">
        <v>44</v>
      </c>
      <c r="F13" s="13">
        <v>1</v>
      </c>
      <c r="G13" s="2">
        <f t="shared" si="4"/>
        <v>47</v>
      </c>
      <c r="H13" s="8">
        <f t="shared" si="2"/>
        <v>156.66666666666669</v>
      </c>
      <c r="I13" s="104"/>
      <c r="S13" s="39"/>
    </row>
    <row r="14" spans="1:28" x14ac:dyDescent="0.2">
      <c r="A14" s="103"/>
      <c r="B14" s="45"/>
      <c r="C14" s="10" t="s">
        <v>136</v>
      </c>
      <c r="D14" s="35">
        <v>11</v>
      </c>
      <c r="E14" s="35">
        <v>8</v>
      </c>
      <c r="F14" s="13">
        <v>1</v>
      </c>
      <c r="G14" s="2">
        <f t="shared" si="4"/>
        <v>9.5</v>
      </c>
      <c r="H14" s="8">
        <f t="shared" si="2"/>
        <v>31.666666666666671</v>
      </c>
      <c r="I14" s="104"/>
      <c r="S14" s="39"/>
    </row>
    <row r="15" spans="1:28" ht="16" customHeight="1" x14ac:dyDescent="0.2">
      <c r="A15" s="101" t="s">
        <v>3</v>
      </c>
      <c r="B15" s="77" t="s">
        <v>138</v>
      </c>
      <c r="C15" s="10" t="s">
        <v>62</v>
      </c>
      <c r="D15" s="35">
        <v>10</v>
      </c>
      <c r="E15" s="35">
        <v>2</v>
      </c>
      <c r="F15" s="13">
        <v>1</v>
      </c>
      <c r="G15" s="21">
        <f t="shared" si="4"/>
        <v>6</v>
      </c>
      <c r="H15" s="8">
        <f t="shared" si="2"/>
        <v>20</v>
      </c>
      <c r="I15" s="104">
        <f>TTEST(H3:H5,H15:H17,2,2)</f>
        <v>0.92729637969499146</v>
      </c>
      <c r="J15" s="1"/>
      <c r="K15" s="1"/>
      <c r="L15" s="1"/>
      <c r="M15" s="1"/>
      <c r="S15" s="39"/>
      <c r="U15" s="1"/>
      <c r="W15" s="1"/>
      <c r="X15" s="1"/>
      <c r="Y15" s="1"/>
      <c r="Z15" s="1"/>
      <c r="AA15" s="1"/>
      <c r="AB15" s="1"/>
    </row>
    <row r="16" spans="1:28" x14ac:dyDescent="0.2">
      <c r="A16" s="102"/>
      <c r="B16" s="78"/>
      <c r="C16" s="10" t="s">
        <v>64</v>
      </c>
      <c r="D16" s="35">
        <v>2</v>
      </c>
      <c r="E16" s="35">
        <v>0</v>
      </c>
      <c r="F16" s="13">
        <v>1</v>
      </c>
      <c r="G16" s="21">
        <f t="shared" si="4"/>
        <v>1</v>
      </c>
      <c r="H16" s="8">
        <f t="shared" si="2"/>
        <v>3.3333333333333339</v>
      </c>
      <c r="I16" s="104"/>
      <c r="S16" s="39"/>
    </row>
    <row r="17" spans="1:28" x14ac:dyDescent="0.2">
      <c r="A17" s="103"/>
      <c r="B17" s="79"/>
      <c r="C17" s="10" t="s">
        <v>80</v>
      </c>
      <c r="D17" s="35">
        <v>1</v>
      </c>
      <c r="E17" s="35">
        <v>4</v>
      </c>
      <c r="F17" s="13">
        <v>1</v>
      </c>
      <c r="G17" s="21">
        <f t="shared" si="4"/>
        <v>2.5</v>
      </c>
      <c r="H17" s="8">
        <f t="shared" si="2"/>
        <v>8.3333333333333339</v>
      </c>
      <c r="I17" s="104"/>
      <c r="S17" s="39"/>
    </row>
    <row r="18" spans="1:28" ht="15" customHeight="1" x14ac:dyDescent="0.2">
      <c r="A18" s="99" t="s">
        <v>134</v>
      </c>
      <c r="B18" s="77" t="s">
        <v>138</v>
      </c>
      <c r="C18" s="10" t="s">
        <v>65</v>
      </c>
      <c r="D18" s="35">
        <v>6</v>
      </c>
      <c r="E18" s="35">
        <v>5</v>
      </c>
      <c r="F18" s="13">
        <v>1</v>
      </c>
      <c r="G18" s="2">
        <f t="shared" si="4"/>
        <v>5.5</v>
      </c>
      <c r="H18" s="8">
        <f t="shared" si="2"/>
        <v>18.333333333333336</v>
      </c>
      <c r="I18" s="104">
        <f>TTEST(H18:H20,H3:H5,2,2)</f>
        <v>1</v>
      </c>
      <c r="S18" s="39"/>
    </row>
    <row r="19" spans="1:28" ht="15" customHeight="1" x14ac:dyDescent="0.2">
      <c r="A19" s="105"/>
      <c r="B19" s="76"/>
      <c r="C19" s="10" t="s">
        <v>66</v>
      </c>
      <c r="D19" s="35">
        <v>0</v>
      </c>
      <c r="E19" s="35">
        <v>0</v>
      </c>
      <c r="F19" s="13">
        <v>1</v>
      </c>
      <c r="G19" s="2">
        <f t="shared" si="4"/>
        <v>0</v>
      </c>
      <c r="H19" s="8">
        <f t="shared" si="2"/>
        <v>0</v>
      </c>
      <c r="I19" s="104"/>
      <c r="S19" s="39"/>
    </row>
    <row r="20" spans="1:28" x14ac:dyDescent="0.2">
      <c r="A20" s="100"/>
      <c r="B20" s="75"/>
      <c r="C20" s="10" t="s">
        <v>81</v>
      </c>
      <c r="D20" s="35">
        <v>4</v>
      </c>
      <c r="E20" s="35">
        <v>3</v>
      </c>
      <c r="F20" s="13">
        <v>1</v>
      </c>
      <c r="G20" s="2">
        <f t="shared" si="4"/>
        <v>3.5</v>
      </c>
      <c r="H20" s="8">
        <f t="shared" si="2"/>
        <v>11.666666666666668</v>
      </c>
      <c r="I20" s="104"/>
      <c r="S20" s="39"/>
    </row>
    <row r="21" spans="1:28" ht="15" customHeight="1" x14ac:dyDescent="0.2">
      <c r="A21" s="96" t="s">
        <v>126</v>
      </c>
      <c r="B21" s="77" t="s">
        <v>138</v>
      </c>
      <c r="C21" s="10" t="s">
        <v>67</v>
      </c>
      <c r="D21" s="35">
        <v>0</v>
      </c>
      <c r="E21" s="35">
        <v>2</v>
      </c>
      <c r="F21" s="13">
        <v>1</v>
      </c>
      <c r="G21" s="2">
        <f t="shared" si="4"/>
        <v>1</v>
      </c>
      <c r="H21" s="8">
        <f t="shared" si="2"/>
        <v>3.3333333333333339</v>
      </c>
      <c r="I21" s="104">
        <f>TTEST(H21:H23,H3:H5,2,2)</f>
        <v>0.92281437546872724</v>
      </c>
      <c r="L21" s="41"/>
      <c r="M21" s="41"/>
      <c r="N21" s="38"/>
      <c r="O21" s="38"/>
      <c r="P21" s="46"/>
      <c r="Q21" s="48"/>
      <c r="R21" s="47"/>
      <c r="S21" s="39"/>
    </row>
    <row r="22" spans="1:28" x14ac:dyDescent="0.2">
      <c r="A22" s="105"/>
      <c r="B22" s="76"/>
      <c r="C22" s="10" t="s">
        <v>68</v>
      </c>
      <c r="D22" s="35">
        <v>3</v>
      </c>
      <c r="E22" s="35">
        <v>1</v>
      </c>
      <c r="F22" s="13">
        <v>1</v>
      </c>
      <c r="G22" s="2">
        <f t="shared" si="4"/>
        <v>2</v>
      </c>
      <c r="H22" s="8">
        <f t="shared" si="2"/>
        <v>6.6666666666666679</v>
      </c>
      <c r="I22" s="104"/>
      <c r="L22" s="49"/>
      <c r="M22" s="49"/>
      <c r="N22" s="38"/>
      <c r="O22" s="38"/>
      <c r="P22" s="46"/>
      <c r="Q22" s="48"/>
      <c r="R22" s="47"/>
      <c r="S22" s="39"/>
    </row>
    <row r="23" spans="1:28" ht="15" customHeight="1" x14ac:dyDescent="0.2">
      <c r="A23" s="100"/>
      <c r="B23" s="75"/>
      <c r="C23" s="10" t="s">
        <v>82</v>
      </c>
      <c r="D23" s="35">
        <v>9</v>
      </c>
      <c r="E23" s="35">
        <v>2</v>
      </c>
      <c r="F23" s="13">
        <v>1</v>
      </c>
      <c r="G23" s="2">
        <f t="shared" si="4"/>
        <v>5.5</v>
      </c>
      <c r="H23" s="8">
        <f t="shared" si="2"/>
        <v>18.333333333333336</v>
      </c>
      <c r="I23" s="104"/>
      <c r="L23" s="41"/>
      <c r="M23" s="41"/>
      <c r="N23" s="38"/>
      <c r="O23" s="38"/>
      <c r="P23" s="46"/>
      <c r="Q23" s="48"/>
      <c r="R23" s="47"/>
      <c r="S23" s="39"/>
    </row>
    <row r="24" spans="1:28" ht="16" customHeight="1" x14ac:dyDescent="0.2">
      <c r="A24" s="101" t="s">
        <v>135</v>
      </c>
      <c r="B24" s="77" t="s">
        <v>138</v>
      </c>
      <c r="C24" s="10" t="s">
        <v>123</v>
      </c>
      <c r="D24" s="35">
        <v>23</v>
      </c>
      <c r="E24" s="35">
        <v>4</v>
      </c>
      <c r="F24" s="13">
        <v>1</v>
      </c>
      <c r="G24" s="2">
        <f t="shared" ref="G24:G26" si="5">AVERAGE(D24,E24)</f>
        <v>13.5</v>
      </c>
      <c r="H24" s="8">
        <f t="shared" si="2"/>
        <v>45</v>
      </c>
      <c r="I24" s="104">
        <f>TTEST(H24:H26,H3:H5,2,2)</f>
        <v>0.49283780205338829</v>
      </c>
      <c r="L24" s="41"/>
      <c r="M24" s="41"/>
      <c r="N24" s="38"/>
      <c r="O24" s="38"/>
      <c r="P24" s="46"/>
      <c r="Q24" s="48"/>
      <c r="R24" s="47"/>
      <c r="S24" s="39"/>
    </row>
    <row r="25" spans="1:28" ht="15" customHeight="1" x14ac:dyDescent="0.2">
      <c r="A25" s="102"/>
      <c r="B25" s="78"/>
      <c r="C25" s="10" t="s">
        <v>124</v>
      </c>
      <c r="D25" s="35">
        <v>3</v>
      </c>
      <c r="E25" s="35">
        <v>5</v>
      </c>
      <c r="F25" s="13">
        <v>1</v>
      </c>
      <c r="G25" s="2">
        <f t="shared" si="5"/>
        <v>4</v>
      </c>
      <c r="H25" s="8">
        <f t="shared" si="2"/>
        <v>13.333333333333336</v>
      </c>
      <c r="I25" s="104"/>
      <c r="S25" s="39"/>
    </row>
    <row r="26" spans="1:28" x14ac:dyDescent="0.2">
      <c r="A26" s="103"/>
      <c r="B26" s="79"/>
      <c r="C26" s="10" t="s">
        <v>136</v>
      </c>
      <c r="D26" s="35">
        <v>1</v>
      </c>
      <c r="E26" s="35">
        <v>0</v>
      </c>
      <c r="F26" s="13">
        <v>1</v>
      </c>
      <c r="G26" s="2">
        <f t="shared" si="5"/>
        <v>0.5</v>
      </c>
      <c r="H26" s="8">
        <f t="shared" si="2"/>
        <v>1.666666666666667</v>
      </c>
      <c r="I26" s="104"/>
    </row>
    <row r="27" spans="1:28" ht="16" customHeight="1" x14ac:dyDescent="0.2">
      <c r="A27" s="36" t="s">
        <v>132</v>
      </c>
      <c r="J27" s="1"/>
      <c r="K27" s="1"/>
      <c r="L27" s="1"/>
      <c r="M27" s="1"/>
      <c r="S27" s="46"/>
      <c r="U27" s="1"/>
      <c r="W27" s="1"/>
      <c r="X27" s="1"/>
      <c r="Y27" s="1"/>
      <c r="Z27" s="1"/>
      <c r="AA27" s="1"/>
      <c r="AB27" s="1"/>
    </row>
    <row r="28" spans="1:28" x14ac:dyDescent="0.2">
      <c r="S28" s="46"/>
    </row>
    <row r="29" spans="1:28" x14ac:dyDescent="0.2">
      <c r="S29" s="46"/>
    </row>
    <row r="30" spans="1:28" ht="15" customHeight="1" x14ac:dyDescent="0.2">
      <c r="S30" s="46"/>
    </row>
    <row r="31" spans="1:28" ht="15" customHeight="1" x14ac:dyDescent="0.2"/>
    <row r="33" ht="15" customHeight="1" x14ac:dyDescent="0.2"/>
    <row r="35" ht="15" customHeight="1" x14ac:dyDescent="0.2"/>
    <row r="37" ht="15" customHeight="1" x14ac:dyDescent="0.2"/>
  </sheetData>
  <mergeCells count="16">
    <mergeCell ref="A21:A23"/>
    <mergeCell ref="I21:I23"/>
    <mergeCell ref="A24:A26"/>
    <mergeCell ref="I24:I26"/>
    <mergeCell ref="A18:A20"/>
    <mergeCell ref="I18:I20"/>
    <mergeCell ref="A12:A14"/>
    <mergeCell ref="I12:I14"/>
    <mergeCell ref="A15:A17"/>
    <mergeCell ref="I15:I17"/>
    <mergeCell ref="A3:A5"/>
    <mergeCell ref="I3:I5"/>
    <mergeCell ref="A6:A8"/>
    <mergeCell ref="I6:I8"/>
    <mergeCell ref="A9:A11"/>
    <mergeCell ref="I9:I11"/>
  </mergeCells>
  <pageMargins left="0.75" right="0.75" top="1" bottom="1" header="0.5" footer="0.5"/>
  <pageSetup scale="56"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F100-489B-4A0B-A53D-12957D12D2FB}">
  <sheetPr>
    <pageSetUpPr fitToPage="1"/>
  </sheetPr>
  <dimension ref="A1:AO47"/>
  <sheetViews>
    <sheetView showRuler="0" zoomScale="90" zoomScaleNormal="90" workbookViewId="0">
      <selection activeCell="AJ11" sqref="AJ11"/>
    </sheetView>
  </sheetViews>
  <sheetFormatPr baseColWidth="10" defaultColWidth="10.6640625" defaultRowHeight="16" x14ac:dyDescent="0.2"/>
  <cols>
    <col min="1" max="1" width="20.33203125" bestFit="1" customWidth="1"/>
    <col min="2" max="2" width="20.33203125" customWidth="1"/>
    <col min="3" max="3" width="5.5" bestFit="1" customWidth="1"/>
    <col min="4" max="6" width="6.1640625" bestFit="1" customWidth="1"/>
    <col min="7" max="7" width="6" customWidth="1"/>
    <col min="8" max="10" width="6.1640625" bestFit="1" customWidth="1"/>
    <col min="11" max="11" width="6" customWidth="1"/>
    <col min="12" max="12" width="8.33203125" bestFit="1" customWidth="1"/>
    <col min="13" max="13" width="8" bestFit="1" customWidth="1"/>
    <col min="14" max="14" width="9" bestFit="1" customWidth="1"/>
    <col min="15" max="15" width="2.1640625" customWidth="1"/>
    <col min="16" max="16" width="17" bestFit="1" customWidth="1"/>
    <col min="17" max="19" width="9" bestFit="1" customWidth="1"/>
    <col min="20" max="20" width="7.83203125" bestFit="1" customWidth="1"/>
    <col min="21" max="22" width="9.33203125" customWidth="1"/>
    <col min="23" max="23" width="12.33203125" customWidth="1"/>
    <col min="24" max="24" width="15.83203125" customWidth="1"/>
    <col min="25" max="25" width="13.1640625" bestFit="1" customWidth="1"/>
    <col min="37" max="37" width="13.1640625" bestFit="1" customWidth="1"/>
  </cols>
  <sheetData>
    <row r="1" spans="1:41" x14ac:dyDescent="0.2">
      <c r="A1" s="4" t="s">
        <v>0</v>
      </c>
      <c r="B1" s="4"/>
      <c r="C1" s="4"/>
      <c r="D1" s="107" t="s">
        <v>84</v>
      </c>
      <c r="E1" s="107"/>
      <c r="F1" s="107"/>
      <c r="G1" s="33"/>
      <c r="H1" s="107" t="s">
        <v>85</v>
      </c>
      <c r="I1" s="107"/>
      <c r="J1" s="107"/>
      <c r="K1" s="25"/>
      <c r="P1" s="106" t="s">
        <v>95</v>
      </c>
      <c r="Q1" s="106"/>
      <c r="R1" s="106"/>
      <c r="S1" s="106"/>
      <c r="T1" s="106"/>
      <c r="U1" s="106"/>
      <c r="V1" s="106"/>
      <c r="W1" s="106"/>
      <c r="X1" s="82"/>
      <c r="Z1" s="106" t="s">
        <v>96</v>
      </c>
      <c r="AA1" s="106"/>
      <c r="AB1" s="106"/>
      <c r="AC1" s="106"/>
      <c r="AD1" s="106"/>
      <c r="AE1" s="106"/>
      <c r="AF1" s="106"/>
    </row>
    <row r="2" spans="1:41" ht="68" x14ac:dyDescent="0.2">
      <c r="A2" s="24"/>
      <c r="B2" s="24"/>
      <c r="C2" s="24" t="s">
        <v>70</v>
      </c>
      <c r="D2" s="24">
        <v>1</v>
      </c>
      <c r="E2" s="24">
        <v>2</v>
      </c>
      <c r="F2" s="27">
        <v>3</v>
      </c>
      <c r="G2" s="27">
        <v>4</v>
      </c>
      <c r="H2" s="24">
        <v>1</v>
      </c>
      <c r="I2" s="24">
        <v>2</v>
      </c>
      <c r="J2" s="27">
        <v>3</v>
      </c>
      <c r="K2" s="27">
        <v>4</v>
      </c>
      <c r="L2" s="34" t="s">
        <v>57</v>
      </c>
      <c r="M2" s="28" t="s">
        <v>73</v>
      </c>
      <c r="N2" s="28" t="s">
        <v>74</v>
      </c>
      <c r="O2" s="37"/>
      <c r="P2" s="2"/>
      <c r="Q2" s="2" t="s">
        <v>133</v>
      </c>
      <c r="R2" s="28" t="s">
        <v>76</v>
      </c>
      <c r="S2" s="24" t="s">
        <v>77</v>
      </c>
      <c r="T2" s="34" t="s">
        <v>78</v>
      </c>
      <c r="U2" s="29" t="s">
        <v>147</v>
      </c>
      <c r="V2" s="29" t="s">
        <v>148</v>
      </c>
      <c r="W2" s="29" t="s">
        <v>149</v>
      </c>
      <c r="Y2" s="2"/>
      <c r="Z2" s="24" t="s">
        <v>133</v>
      </c>
      <c r="AA2" s="28" t="s">
        <v>76</v>
      </c>
      <c r="AB2" s="24" t="s">
        <v>77</v>
      </c>
      <c r="AC2" s="34" t="s">
        <v>78</v>
      </c>
      <c r="AD2" s="29" t="s">
        <v>75</v>
      </c>
      <c r="AE2" s="29" t="s">
        <v>79</v>
      </c>
      <c r="AK2" s="2"/>
      <c r="AL2" s="24" t="s">
        <v>133</v>
      </c>
      <c r="AM2" s="28" t="s">
        <v>97</v>
      </c>
      <c r="AN2" s="24" t="s">
        <v>77</v>
      </c>
    </row>
    <row r="3" spans="1:41" ht="17" x14ac:dyDescent="0.2">
      <c r="A3" s="101" t="s">
        <v>3</v>
      </c>
      <c r="B3" s="101" t="s">
        <v>141</v>
      </c>
      <c r="C3" s="10" t="s">
        <v>62</v>
      </c>
      <c r="D3" s="13" t="s">
        <v>63</v>
      </c>
      <c r="E3" s="35">
        <v>27</v>
      </c>
      <c r="F3" s="62">
        <v>3</v>
      </c>
      <c r="G3" s="62">
        <v>0</v>
      </c>
      <c r="H3" s="13" t="s">
        <v>63</v>
      </c>
      <c r="I3" s="35">
        <v>42</v>
      </c>
      <c r="J3" s="62">
        <v>2</v>
      </c>
      <c r="K3" s="62">
        <v>0</v>
      </c>
      <c r="L3" s="13">
        <v>0.1</v>
      </c>
      <c r="M3" s="21">
        <f>AVERAGE(E3,I3)</f>
        <v>34.5</v>
      </c>
      <c r="N3" s="8">
        <f>(M3/(0.01*L3))*0.2</f>
        <v>6900</v>
      </c>
      <c r="O3" s="1"/>
      <c r="P3" s="6" t="s">
        <v>3</v>
      </c>
      <c r="Q3" s="6" t="s">
        <v>141</v>
      </c>
      <c r="R3" s="8">
        <f>AVERAGE(N3:N5)</f>
        <v>8766.6666666666661</v>
      </c>
      <c r="S3" s="8">
        <f>STDEV(N3:N5)</f>
        <v>5924.806607251694</v>
      </c>
      <c r="T3" s="12">
        <v>10.093167701863354</v>
      </c>
      <c r="U3" s="2"/>
      <c r="V3" s="22">
        <f t="shared" ref="V3:V10" si="0">IF(R3/$R$3&gt;=1,R3/$R$3,-$R$3/R3)</f>
        <v>1</v>
      </c>
      <c r="W3" s="47">
        <f t="shared" ref="W3:W10" si="1">IF(R3/$R$7&gt;=1,R3/$R$7,-$R$7/R3)</f>
        <v>10.115384615384617</v>
      </c>
      <c r="Y3" s="6" t="s">
        <v>3</v>
      </c>
      <c r="Z3" s="80" t="s">
        <v>141</v>
      </c>
      <c r="AA3" s="8">
        <v>10</v>
      </c>
      <c r="AB3" s="8">
        <v>5</v>
      </c>
      <c r="AC3" s="12">
        <v>10.093167701863354</v>
      </c>
      <c r="AD3" s="63"/>
      <c r="AE3" s="22">
        <v>1</v>
      </c>
      <c r="AK3" s="6" t="s">
        <v>3</v>
      </c>
      <c r="AL3" s="80" t="s">
        <v>141</v>
      </c>
      <c r="AM3" s="8">
        <f>R3/AA3</f>
        <v>876.66666666666663</v>
      </c>
      <c r="AN3" s="8">
        <f>AM3*(SQRT((S3/R3)^2)+(AB3/AA3)^2)</f>
        <v>811.64732739183614</v>
      </c>
      <c r="AO3" s="1">
        <f>(SQRT((S3/R3)^2)+(AB3/AA3)^2)</f>
        <v>0.92583345329867239</v>
      </c>
    </row>
    <row r="4" spans="1:41" ht="17" x14ac:dyDescent="0.2">
      <c r="A4" s="102"/>
      <c r="B4" s="102"/>
      <c r="C4" s="10" t="s">
        <v>64</v>
      </c>
      <c r="D4" s="13" t="s">
        <v>63</v>
      </c>
      <c r="E4" s="35">
        <v>78</v>
      </c>
      <c r="F4" s="62">
        <v>9</v>
      </c>
      <c r="G4" s="62">
        <v>0</v>
      </c>
      <c r="H4" s="13" t="s">
        <v>63</v>
      </c>
      <c r="I4" s="35">
        <v>76</v>
      </c>
      <c r="J4" s="62">
        <v>10</v>
      </c>
      <c r="K4" s="62">
        <v>0</v>
      </c>
      <c r="L4" s="13">
        <v>0.1</v>
      </c>
      <c r="M4" s="21">
        <f t="shared" ref="M4:M5" si="2">AVERAGE(E4,I4)</f>
        <v>77</v>
      </c>
      <c r="N4" s="8">
        <f>(M4/(0.01*L4))*0.2</f>
        <v>15400</v>
      </c>
      <c r="O4" s="1"/>
      <c r="P4" s="6" t="s">
        <v>140</v>
      </c>
      <c r="Q4" s="6" t="s">
        <v>141</v>
      </c>
      <c r="R4" s="8">
        <f>AVERAGE(N6:N8)</f>
        <v>477.22222222222234</v>
      </c>
      <c r="S4" s="8">
        <f>STDEV(N6:N8)</f>
        <v>264.18813442388046</v>
      </c>
      <c r="T4" s="12">
        <v>9.0062111801242235</v>
      </c>
      <c r="U4" s="17">
        <f>TTEST(N3:N5,N6:N8,2,2)</f>
        <v>7.2690649367379748E-2</v>
      </c>
      <c r="V4" s="22">
        <f t="shared" si="0"/>
        <v>-18.370197904540156</v>
      </c>
      <c r="W4" s="47">
        <f t="shared" si="1"/>
        <v>-1.8160651920838176</v>
      </c>
      <c r="Y4" s="6" t="s">
        <v>140</v>
      </c>
      <c r="Z4" s="80" t="s">
        <v>141</v>
      </c>
      <c r="AA4" s="8">
        <v>18.888888888888889</v>
      </c>
      <c r="AB4" s="8">
        <v>10.715167512214398</v>
      </c>
      <c r="AC4" s="12">
        <v>9.0062111801242235</v>
      </c>
      <c r="AD4" s="17">
        <v>0.26281170003284632</v>
      </c>
      <c r="AE4" s="22">
        <v>1.8888888888888888</v>
      </c>
      <c r="AK4" s="6" t="s">
        <v>140</v>
      </c>
      <c r="AL4" s="80" t="s">
        <v>141</v>
      </c>
      <c r="AM4" s="8">
        <f t="shared" ref="AM4:AM9" si="3">R4/AA4</f>
        <v>25.264705882352946</v>
      </c>
      <c r="AN4" s="8">
        <f>AM4*(SQRT((S4/R4)^2)+(AB4/AA4)^2)</f>
        <v>22.116595514685802</v>
      </c>
    </row>
    <row r="5" spans="1:41" ht="17" x14ac:dyDescent="0.2">
      <c r="A5" s="103"/>
      <c r="B5" s="103"/>
      <c r="C5" s="10" t="s">
        <v>80</v>
      </c>
      <c r="D5" s="13" t="s">
        <v>63</v>
      </c>
      <c r="E5" s="35">
        <v>17</v>
      </c>
      <c r="F5" s="62">
        <v>1</v>
      </c>
      <c r="G5" s="62">
        <v>0</v>
      </c>
      <c r="H5" s="13" t="s">
        <v>63</v>
      </c>
      <c r="I5" s="35">
        <v>23</v>
      </c>
      <c r="J5" s="62">
        <v>1</v>
      </c>
      <c r="K5" s="62">
        <v>0</v>
      </c>
      <c r="L5" s="13">
        <v>0.1</v>
      </c>
      <c r="M5" s="21">
        <f t="shared" si="2"/>
        <v>20</v>
      </c>
      <c r="N5" s="8">
        <f>(M5/(0.01*L5))*0.2</f>
        <v>4000</v>
      </c>
      <c r="O5" s="1"/>
      <c r="P5" s="6" t="s">
        <v>139</v>
      </c>
      <c r="Q5" s="6" t="s">
        <v>141</v>
      </c>
      <c r="R5" s="8">
        <f>AVERAGE(N9:N11)</f>
        <v>636.66666666666663</v>
      </c>
      <c r="S5" s="8">
        <f>STDEV(N9:N11)</f>
        <v>534.54030094402924</v>
      </c>
      <c r="T5" s="12">
        <v>8.695652173913043</v>
      </c>
      <c r="U5" s="17">
        <f>TTEST(N3:N5,N9:N11,2,2)</f>
        <v>7.7064037573581323E-2</v>
      </c>
      <c r="V5" s="22">
        <f t="shared" si="0"/>
        <v>-13.769633507853403</v>
      </c>
      <c r="W5" s="47">
        <f t="shared" si="1"/>
        <v>-1.3612565445026177</v>
      </c>
      <c r="Y5" s="10" t="s">
        <v>150</v>
      </c>
      <c r="Z5" s="80" t="s">
        <v>141</v>
      </c>
      <c r="AA5" s="8">
        <v>27.222222222222229</v>
      </c>
      <c r="AB5" s="8">
        <v>14.561491580090172</v>
      </c>
      <c r="AC5" s="12">
        <v>8.695652173913043</v>
      </c>
      <c r="AD5" s="17">
        <v>0.12473518694204083</v>
      </c>
      <c r="AE5" s="22">
        <v>2.7222222222222228</v>
      </c>
      <c r="AK5" s="10" t="s">
        <v>150</v>
      </c>
      <c r="AL5" s="80" t="s">
        <v>141</v>
      </c>
      <c r="AM5" s="8">
        <f t="shared" si="3"/>
        <v>23.38775510204081</v>
      </c>
      <c r="AN5" s="8">
        <f t="shared" ref="AN5:AN10" si="4">AM5*(SQRT((S5/R5)^2)+(AB5/AA5)^2)</f>
        <v>26.328130903109283</v>
      </c>
    </row>
    <row r="6" spans="1:41" ht="17" x14ac:dyDescent="0.2">
      <c r="A6" s="99" t="s">
        <v>142</v>
      </c>
      <c r="B6" s="101" t="s">
        <v>141</v>
      </c>
      <c r="C6" s="10" t="s">
        <v>65</v>
      </c>
      <c r="D6" s="35">
        <v>72</v>
      </c>
      <c r="E6" s="13"/>
      <c r="F6" s="35"/>
      <c r="G6" s="35"/>
      <c r="H6" s="35">
        <v>57</v>
      </c>
      <c r="I6" s="13"/>
      <c r="J6" s="35"/>
      <c r="K6" s="35"/>
      <c r="L6" s="13">
        <v>1</v>
      </c>
      <c r="M6" s="21">
        <f t="shared" ref="M6:M11" si="5">AVERAGE(D6,H6)</f>
        <v>64.5</v>
      </c>
      <c r="N6" s="8">
        <f>(M6/(0.06*L6))*0.2</f>
        <v>215</v>
      </c>
      <c r="O6" s="1"/>
      <c r="P6" s="6" t="s">
        <v>112</v>
      </c>
      <c r="Q6" s="6" t="s">
        <v>141</v>
      </c>
      <c r="R6" s="8">
        <f>AVERAGE(N12:N14)</f>
        <v>5790</v>
      </c>
      <c r="S6" s="8">
        <f>STDEV(N12:N14)</f>
        <v>5578.0193617448122</v>
      </c>
      <c r="T6" s="12">
        <v>7.2981366459627326</v>
      </c>
      <c r="U6" s="17">
        <f>TTEST(N3:N5,N12:N14,2,2)</f>
        <v>0.56077157226981234</v>
      </c>
      <c r="V6" s="22">
        <f t="shared" si="0"/>
        <v>-1.5141047783534829</v>
      </c>
      <c r="W6" s="47">
        <f t="shared" si="1"/>
        <v>6.6807692307692319</v>
      </c>
      <c r="Y6" s="6" t="s">
        <v>144</v>
      </c>
      <c r="Z6" s="80" t="s">
        <v>141</v>
      </c>
      <c r="AA6" s="8">
        <v>70.555555555555557</v>
      </c>
      <c r="AB6" s="8">
        <v>74.690720331937513</v>
      </c>
      <c r="AC6" s="12">
        <v>7.2981366459627326</v>
      </c>
      <c r="AD6" s="17">
        <v>0.23378934430483916</v>
      </c>
      <c r="AE6" s="22">
        <v>7.0555555555555554</v>
      </c>
      <c r="AK6" s="6" t="s">
        <v>144</v>
      </c>
      <c r="AL6" s="80" t="s">
        <v>141</v>
      </c>
      <c r="AM6" s="8">
        <f t="shared" si="3"/>
        <v>82.062992125984252</v>
      </c>
      <c r="AN6" s="8">
        <f t="shared" si="4"/>
        <v>171.02261818910222</v>
      </c>
    </row>
    <row r="7" spans="1:41" ht="15" customHeight="1" x14ac:dyDescent="0.2">
      <c r="A7" s="105"/>
      <c r="B7" s="102"/>
      <c r="C7" s="10" t="s">
        <v>66</v>
      </c>
      <c r="D7" s="35">
        <v>111</v>
      </c>
      <c r="E7" s="13"/>
      <c r="F7" s="35"/>
      <c r="G7" s="35"/>
      <c r="H7" s="35">
        <v>173</v>
      </c>
      <c r="I7" s="13"/>
      <c r="J7" s="35"/>
      <c r="K7" s="35"/>
      <c r="L7" s="13">
        <v>1</v>
      </c>
      <c r="M7" s="21">
        <f t="shared" si="5"/>
        <v>142</v>
      </c>
      <c r="N7" s="8">
        <f t="shared" ref="N7:N8" si="6">(M7/(0.06*L7))*0.2</f>
        <v>473.33333333333343</v>
      </c>
      <c r="O7" s="1"/>
      <c r="P7" s="6" t="s">
        <v>3</v>
      </c>
      <c r="Q7" s="80" t="s">
        <v>138</v>
      </c>
      <c r="R7" s="8">
        <f>AVERAGE(N15:N17)</f>
        <v>866.66666666666652</v>
      </c>
      <c r="S7" s="8">
        <f>STDEV(N15:N17)</f>
        <v>901.62815691022718</v>
      </c>
      <c r="T7" s="12">
        <v>10.093167701863354</v>
      </c>
      <c r="U7" s="17">
        <f>TTEST(N3:N5,N15:N17,2,2)</f>
        <v>8.44887735361919E-2</v>
      </c>
      <c r="V7" s="22">
        <f t="shared" si="0"/>
        <v>-10.115384615384617</v>
      </c>
      <c r="W7" s="47">
        <f t="shared" si="1"/>
        <v>1</v>
      </c>
      <c r="Y7" s="6" t="s">
        <v>3</v>
      </c>
      <c r="Z7" s="80" t="s">
        <v>138</v>
      </c>
      <c r="AA7" s="8">
        <v>10.555555555555557</v>
      </c>
      <c r="AB7" s="8">
        <v>8.5526690657448032</v>
      </c>
      <c r="AC7" s="12">
        <v>10.093167701863354</v>
      </c>
      <c r="AD7" s="17">
        <v>0.92729637969499146</v>
      </c>
      <c r="AE7" s="22">
        <v>1.0555555555555558</v>
      </c>
      <c r="AK7" s="6" t="s">
        <v>3</v>
      </c>
      <c r="AL7" s="80" t="s">
        <v>138</v>
      </c>
      <c r="AM7" s="8">
        <f t="shared" si="3"/>
        <v>82.105263157894711</v>
      </c>
      <c r="AN7" s="8">
        <f t="shared" si="4"/>
        <v>139.3203056364288</v>
      </c>
    </row>
    <row r="8" spans="1:41" ht="15" customHeight="1" x14ac:dyDescent="0.2">
      <c r="A8" s="100"/>
      <c r="B8" s="103"/>
      <c r="C8" s="10" t="s">
        <v>81</v>
      </c>
      <c r="D8" s="35">
        <v>169</v>
      </c>
      <c r="E8" s="13"/>
      <c r="F8" s="35"/>
      <c r="G8" s="35"/>
      <c r="H8" s="35">
        <v>277</v>
      </c>
      <c r="I8" s="13"/>
      <c r="J8" s="35"/>
      <c r="K8" s="35"/>
      <c r="L8" s="13">
        <v>1</v>
      </c>
      <c r="M8" s="21">
        <f t="shared" si="5"/>
        <v>223</v>
      </c>
      <c r="N8" s="8">
        <f t="shared" si="6"/>
        <v>743.33333333333348</v>
      </c>
      <c r="O8" s="1"/>
      <c r="P8" s="6" t="s">
        <v>140</v>
      </c>
      <c r="Q8" s="6" t="s">
        <v>138</v>
      </c>
      <c r="R8" s="8">
        <f>AVERAGE(N18:N20)</f>
        <v>716.66666666666663</v>
      </c>
      <c r="S8" s="8">
        <f>STDEV(N18:N20)</f>
        <v>1223.9825706820068</v>
      </c>
      <c r="T8" s="12">
        <v>9.0062111801242235</v>
      </c>
      <c r="U8" s="17">
        <f>TTEST(N4:N6,N18:N20,2,2)</f>
        <v>0.27595509923594935</v>
      </c>
      <c r="V8" s="22">
        <f t="shared" si="0"/>
        <v>-12.232558139534884</v>
      </c>
      <c r="W8" s="47">
        <f t="shared" si="1"/>
        <v>-1.2093023255813953</v>
      </c>
      <c r="Y8" s="6" t="s">
        <v>140</v>
      </c>
      <c r="Z8" s="80" t="s">
        <v>138</v>
      </c>
      <c r="AA8" s="8">
        <v>10.000000000000002</v>
      </c>
      <c r="AB8" s="8">
        <v>9.2796072713833713</v>
      </c>
      <c r="AC8" s="12">
        <v>9.0062111801242235</v>
      </c>
      <c r="AD8" s="17">
        <v>1</v>
      </c>
      <c r="AE8" s="22">
        <v>1.0000000000000002</v>
      </c>
      <c r="AK8" s="6" t="s">
        <v>140</v>
      </c>
      <c r="AL8" s="80" t="s">
        <v>138</v>
      </c>
      <c r="AM8" s="8">
        <f t="shared" si="3"/>
        <v>71.666666666666657</v>
      </c>
      <c r="AN8" s="8">
        <f t="shared" si="4"/>
        <v>184.11122003116361</v>
      </c>
    </row>
    <row r="9" spans="1:41" ht="15" customHeight="1" x14ac:dyDescent="0.2">
      <c r="A9" s="99" t="s">
        <v>143</v>
      </c>
      <c r="B9" s="101" t="s">
        <v>141</v>
      </c>
      <c r="C9" s="10" t="s">
        <v>67</v>
      </c>
      <c r="D9" s="35">
        <v>19</v>
      </c>
      <c r="E9" s="62">
        <v>1</v>
      </c>
      <c r="F9" s="13">
        <v>0</v>
      </c>
      <c r="G9" s="13">
        <v>0</v>
      </c>
      <c r="H9" s="35">
        <v>20</v>
      </c>
      <c r="I9" s="62">
        <v>3</v>
      </c>
      <c r="J9" s="13">
        <v>0</v>
      </c>
      <c r="K9" s="13">
        <v>0</v>
      </c>
      <c r="L9" s="13">
        <v>1</v>
      </c>
      <c r="M9" s="2">
        <f t="shared" si="5"/>
        <v>19.5</v>
      </c>
      <c r="N9" s="8">
        <f>(M9/(0.01*L9))*0.2</f>
        <v>390</v>
      </c>
      <c r="O9" s="1"/>
      <c r="P9" s="6" t="s">
        <v>139</v>
      </c>
      <c r="Q9" s="80" t="s">
        <v>138</v>
      </c>
      <c r="R9" s="8">
        <f>AVERAGE(N21:N23)</f>
        <v>433.33333333333331</v>
      </c>
      <c r="S9" s="8">
        <f>STDEV(N21:N23)</f>
        <v>287.28615235220309</v>
      </c>
      <c r="T9" s="12">
        <v>8.695652173913043</v>
      </c>
      <c r="U9" s="17">
        <f>TTEST(N5:N7,N21:N23,2,2)</f>
        <v>0.41117857451443424</v>
      </c>
      <c r="V9" s="22">
        <f t="shared" si="0"/>
        <v>-20.23076923076923</v>
      </c>
      <c r="W9" s="47">
        <f t="shared" si="1"/>
        <v>-1.9999999999999998</v>
      </c>
      <c r="Y9" s="10" t="s">
        <v>150</v>
      </c>
      <c r="Z9" s="80" t="s">
        <v>138</v>
      </c>
      <c r="AA9" s="8">
        <v>9.4444444444444446</v>
      </c>
      <c r="AB9" s="8">
        <v>7.876359377087681</v>
      </c>
      <c r="AC9" s="12">
        <v>8.695652173913043</v>
      </c>
      <c r="AD9" s="17">
        <v>0.92281437546872724</v>
      </c>
      <c r="AE9" s="22">
        <v>-1.0588235294117647</v>
      </c>
      <c r="AK9" s="10" t="s">
        <v>150</v>
      </c>
      <c r="AL9" s="80" t="s">
        <v>138</v>
      </c>
      <c r="AM9" s="8">
        <f t="shared" si="3"/>
        <v>45.882352941176471</v>
      </c>
      <c r="AN9" s="8">
        <f t="shared" si="4"/>
        <v>62.329789630290257</v>
      </c>
    </row>
    <row r="10" spans="1:41" ht="17" x14ac:dyDescent="0.2">
      <c r="A10" s="105"/>
      <c r="B10" s="102"/>
      <c r="C10" s="10" t="s">
        <v>68</v>
      </c>
      <c r="D10" s="35">
        <v>11</v>
      </c>
      <c r="E10" s="62">
        <v>3</v>
      </c>
      <c r="F10" s="13">
        <v>1</v>
      </c>
      <c r="G10" s="13">
        <v>0</v>
      </c>
      <c r="H10" s="35">
        <v>16</v>
      </c>
      <c r="I10" s="62">
        <v>0</v>
      </c>
      <c r="J10" s="13">
        <v>1</v>
      </c>
      <c r="K10" s="13">
        <v>0</v>
      </c>
      <c r="L10" s="13">
        <v>1</v>
      </c>
      <c r="M10" s="2">
        <f t="shared" si="5"/>
        <v>13.5</v>
      </c>
      <c r="N10" s="8">
        <f t="shared" ref="N10:N11" si="7">(M10/(0.01*L10))*0.2</f>
        <v>270</v>
      </c>
      <c r="O10" s="1"/>
      <c r="P10" s="6" t="s">
        <v>112</v>
      </c>
      <c r="Q10" s="80" t="s">
        <v>138</v>
      </c>
      <c r="R10" s="8">
        <f>AVERAGE(N25:N26)</f>
        <v>78700</v>
      </c>
      <c r="S10" s="8">
        <f>STDEV(N25:N26)</f>
        <v>107904.49480906715</v>
      </c>
      <c r="T10" s="12">
        <v>7.2981366459627326</v>
      </c>
      <c r="U10" s="17">
        <f>TTEST(N6:N8,N25:N26,2,2)</f>
        <v>0.26270378624876978</v>
      </c>
      <c r="V10" s="22">
        <f t="shared" si="0"/>
        <v>8.9771863117870723</v>
      </c>
      <c r="W10" s="47">
        <f t="shared" si="1"/>
        <v>90.807692307692321</v>
      </c>
      <c r="Y10" s="6" t="s">
        <v>144</v>
      </c>
      <c r="Z10" s="80" t="s">
        <v>138</v>
      </c>
      <c r="AA10" s="8">
        <v>20</v>
      </c>
      <c r="AB10" s="8">
        <v>22.422706745122852</v>
      </c>
      <c r="AC10" s="12">
        <v>7.2981366459627326</v>
      </c>
      <c r="AD10" s="17">
        <v>0.49283780205338829</v>
      </c>
      <c r="AE10" s="22">
        <v>2</v>
      </c>
      <c r="AK10" s="6" t="s">
        <v>144</v>
      </c>
      <c r="AL10" s="80" t="s">
        <v>138</v>
      </c>
      <c r="AM10" s="8">
        <f>R10/AA10</f>
        <v>3935</v>
      </c>
      <c r="AN10" s="8">
        <f t="shared" si="4"/>
        <v>10341.301129342246</v>
      </c>
    </row>
    <row r="11" spans="1:41" ht="15" customHeight="1" x14ac:dyDescent="0.2">
      <c r="A11" s="100"/>
      <c r="B11" s="103"/>
      <c r="C11" s="10" t="s">
        <v>82</v>
      </c>
      <c r="D11" s="35">
        <v>54</v>
      </c>
      <c r="E11" s="62">
        <v>7</v>
      </c>
      <c r="F11" s="13">
        <v>1</v>
      </c>
      <c r="G11" s="13">
        <v>0</v>
      </c>
      <c r="H11" s="35">
        <v>71</v>
      </c>
      <c r="I11" s="62">
        <v>7</v>
      </c>
      <c r="J11" s="13">
        <v>0</v>
      </c>
      <c r="K11" s="13">
        <v>0</v>
      </c>
      <c r="L11" s="13">
        <v>1</v>
      </c>
      <c r="M11" s="2">
        <f t="shared" si="5"/>
        <v>62.5</v>
      </c>
      <c r="N11" s="8">
        <f t="shared" si="7"/>
        <v>1250</v>
      </c>
      <c r="O11" s="1"/>
      <c r="P11" s="41"/>
      <c r="Q11" s="41"/>
      <c r="R11" s="38"/>
      <c r="S11" s="38"/>
      <c r="T11" s="46"/>
      <c r="U11" s="48"/>
      <c r="V11" s="48"/>
      <c r="W11" s="47"/>
      <c r="X11" s="47"/>
    </row>
    <row r="12" spans="1:41" ht="16" customHeight="1" x14ac:dyDescent="0.2">
      <c r="A12" s="101" t="s">
        <v>144</v>
      </c>
      <c r="B12" s="101" t="s">
        <v>141</v>
      </c>
      <c r="C12" s="10" t="s">
        <v>86</v>
      </c>
      <c r="D12" s="13" t="s">
        <v>63</v>
      </c>
      <c r="E12" s="35">
        <v>53</v>
      </c>
      <c r="F12" s="62">
        <v>5</v>
      </c>
      <c r="G12" s="13">
        <v>0</v>
      </c>
      <c r="H12" s="13" t="s">
        <v>63</v>
      </c>
      <c r="I12" s="35">
        <v>66</v>
      </c>
      <c r="J12" s="62">
        <v>4</v>
      </c>
      <c r="K12" s="13">
        <v>1</v>
      </c>
      <c r="L12" s="13">
        <v>0.1</v>
      </c>
      <c r="M12" s="21">
        <f>AVERAGE(E12,I12)</f>
        <v>59.5</v>
      </c>
      <c r="N12" s="8">
        <f t="shared" ref="N12:N14" si="8">(M12/(0.01*L12))*0.2</f>
        <v>11900</v>
      </c>
      <c r="O12" s="1"/>
      <c r="P12" s="41"/>
      <c r="Q12" s="41"/>
      <c r="R12" s="38"/>
      <c r="S12" s="38"/>
      <c r="T12" s="46"/>
      <c r="U12" s="48"/>
      <c r="V12" s="48"/>
      <c r="W12" s="47"/>
      <c r="X12" s="47"/>
      <c r="Z12" s="1"/>
    </row>
    <row r="13" spans="1:41" ht="15" customHeight="1" x14ac:dyDescent="0.2">
      <c r="A13" s="102"/>
      <c r="B13" s="102"/>
      <c r="C13" s="10" t="s">
        <v>87</v>
      </c>
      <c r="D13" s="13" t="s">
        <v>63</v>
      </c>
      <c r="E13" s="35">
        <v>14</v>
      </c>
      <c r="F13" s="62">
        <v>3</v>
      </c>
      <c r="G13" s="13">
        <v>0</v>
      </c>
      <c r="H13" s="81" t="s">
        <v>63</v>
      </c>
      <c r="I13" s="35">
        <v>31</v>
      </c>
      <c r="J13" s="62">
        <v>3</v>
      </c>
      <c r="K13" s="13">
        <v>0</v>
      </c>
      <c r="L13" s="13">
        <v>0.1</v>
      </c>
      <c r="M13" s="21">
        <f t="shared" ref="M13" si="9">AVERAGE(E13,I13)</f>
        <v>22.5</v>
      </c>
      <c r="N13" s="8">
        <f t="shared" si="8"/>
        <v>4500</v>
      </c>
      <c r="O13" s="1"/>
      <c r="P13" s="46"/>
      <c r="Q13" s="46"/>
      <c r="R13" s="46"/>
      <c r="S13" s="46"/>
      <c r="T13" s="46"/>
      <c r="U13" s="46"/>
      <c r="V13" s="46"/>
      <c r="W13" s="46"/>
      <c r="X13" s="46"/>
    </row>
    <row r="14" spans="1:41" x14ac:dyDescent="0.2">
      <c r="A14" s="103"/>
      <c r="B14" s="103"/>
      <c r="C14" s="10" t="s">
        <v>92</v>
      </c>
      <c r="D14" s="35">
        <v>48</v>
      </c>
      <c r="E14" s="62">
        <v>2</v>
      </c>
      <c r="F14" s="62">
        <v>0</v>
      </c>
      <c r="G14" s="13">
        <v>0</v>
      </c>
      <c r="H14" s="35">
        <v>49</v>
      </c>
      <c r="I14" s="62">
        <v>2</v>
      </c>
      <c r="J14" s="62">
        <v>1</v>
      </c>
      <c r="K14" s="13">
        <v>1</v>
      </c>
      <c r="L14" s="13">
        <v>1</v>
      </c>
      <c r="M14" s="2">
        <f>AVERAGE(D14,H14)</f>
        <v>48.5</v>
      </c>
      <c r="N14" s="8">
        <f t="shared" si="8"/>
        <v>970</v>
      </c>
      <c r="O14" s="1"/>
      <c r="P14" s="46"/>
      <c r="Q14" s="46"/>
      <c r="R14" s="46"/>
      <c r="S14" s="46"/>
      <c r="T14" s="46"/>
      <c r="U14" s="46"/>
      <c r="V14" s="46"/>
      <c r="W14" s="46"/>
      <c r="X14" s="46"/>
    </row>
    <row r="15" spans="1:41" ht="16" customHeight="1" x14ac:dyDescent="0.2">
      <c r="A15" s="101" t="s">
        <v>3</v>
      </c>
      <c r="B15" s="99" t="s">
        <v>138</v>
      </c>
      <c r="C15" s="10" t="s">
        <v>88</v>
      </c>
      <c r="D15" s="62" t="s">
        <v>63</v>
      </c>
      <c r="E15" s="35">
        <v>37</v>
      </c>
      <c r="F15" s="62">
        <v>10</v>
      </c>
      <c r="G15" s="62">
        <v>0</v>
      </c>
      <c r="H15" s="81" t="s">
        <v>63</v>
      </c>
      <c r="I15" s="35">
        <v>58</v>
      </c>
      <c r="J15" s="62">
        <v>20</v>
      </c>
      <c r="K15" s="62">
        <v>0</v>
      </c>
      <c r="L15" s="13">
        <v>0.1</v>
      </c>
      <c r="M15" s="21">
        <f>AVERAGE(E15,I15)</f>
        <v>47.5</v>
      </c>
      <c r="N15" s="8">
        <f>(M15/(0.05*L15))*0.2</f>
        <v>1899.9999999999998</v>
      </c>
      <c r="O15" s="1"/>
      <c r="P15" s="46"/>
      <c r="Q15" s="46"/>
      <c r="R15" s="46"/>
      <c r="S15" s="46"/>
      <c r="T15" s="46"/>
      <c r="U15" s="46"/>
      <c r="V15" s="46"/>
      <c r="W15" s="46"/>
      <c r="X15" s="46"/>
    </row>
    <row r="16" spans="1:41" ht="17" customHeight="1" x14ac:dyDescent="0.2">
      <c r="A16" s="102"/>
      <c r="B16" s="105"/>
      <c r="C16" s="10" t="s">
        <v>89</v>
      </c>
      <c r="D16" s="62">
        <v>60</v>
      </c>
      <c r="E16" s="35">
        <v>6</v>
      </c>
      <c r="F16" s="62">
        <v>2</v>
      </c>
      <c r="G16" s="62">
        <v>0</v>
      </c>
      <c r="H16" s="62">
        <v>43</v>
      </c>
      <c r="I16" s="35">
        <v>6</v>
      </c>
      <c r="J16" s="62">
        <v>0</v>
      </c>
      <c r="K16" s="62">
        <v>0</v>
      </c>
      <c r="L16" s="13">
        <v>0.1</v>
      </c>
      <c r="M16" s="21">
        <f>AVERAGE(E16,I16)</f>
        <v>6</v>
      </c>
      <c r="N16" s="8">
        <f>(M16/(0.05*L16))*0.2</f>
        <v>239.99999999999997</v>
      </c>
      <c r="O16" s="1"/>
      <c r="P16" s="46"/>
      <c r="Q16" s="46"/>
      <c r="R16" s="46"/>
      <c r="S16" s="46"/>
      <c r="T16" s="46"/>
      <c r="U16" s="46"/>
      <c r="V16" s="46"/>
      <c r="W16" s="46"/>
      <c r="X16" s="46"/>
    </row>
    <row r="17" spans="1:26" x14ac:dyDescent="0.2">
      <c r="A17" s="103"/>
      <c r="B17" s="100"/>
      <c r="C17" s="10" t="s">
        <v>93</v>
      </c>
      <c r="D17" s="62">
        <v>18</v>
      </c>
      <c r="E17" s="35">
        <v>13</v>
      </c>
      <c r="F17" s="62">
        <v>1</v>
      </c>
      <c r="G17" s="62">
        <v>0</v>
      </c>
      <c r="H17" s="62">
        <v>13</v>
      </c>
      <c r="I17" s="35">
        <v>10</v>
      </c>
      <c r="J17" s="62">
        <v>2</v>
      </c>
      <c r="K17" s="62">
        <v>0</v>
      </c>
      <c r="L17" s="13">
        <v>0.1</v>
      </c>
      <c r="M17" s="21">
        <f>AVERAGE(E17,I17)</f>
        <v>11.5</v>
      </c>
      <c r="N17" s="8">
        <f>(M17/(0.05*L17))*0.2</f>
        <v>459.99999999999994</v>
      </c>
      <c r="O17" s="1"/>
      <c r="P17" s="46"/>
      <c r="Q17" s="46"/>
      <c r="R17" s="46"/>
      <c r="S17" s="46"/>
      <c r="T17" s="46"/>
      <c r="U17" s="46"/>
      <c r="V17" s="46"/>
      <c r="W17" s="46"/>
      <c r="X17" s="46"/>
    </row>
    <row r="18" spans="1:26" ht="16" customHeight="1" x14ac:dyDescent="0.2">
      <c r="A18" s="99" t="s">
        <v>142</v>
      </c>
      <c r="B18" s="99" t="s">
        <v>138</v>
      </c>
      <c r="C18" s="10" t="s">
        <v>90</v>
      </c>
      <c r="D18" s="35">
        <v>0</v>
      </c>
      <c r="E18" s="13"/>
      <c r="F18" s="35"/>
      <c r="G18" s="35"/>
      <c r="H18" s="35">
        <v>1</v>
      </c>
      <c r="I18" s="13"/>
      <c r="J18" s="35"/>
      <c r="K18" s="35"/>
      <c r="L18" s="13">
        <v>1</v>
      </c>
      <c r="M18" s="21">
        <f>AVERAGE(D18,H18)</f>
        <v>0.5</v>
      </c>
      <c r="N18" s="8">
        <f t="shared" ref="N18:N20" si="10">(M18/(0.01*L18))*0.2</f>
        <v>10</v>
      </c>
      <c r="O18" s="1"/>
      <c r="P18" s="46"/>
      <c r="Q18" s="46"/>
      <c r="R18" s="46"/>
      <c r="S18" s="46"/>
      <c r="T18" s="46"/>
      <c r="U18" s="46"/>
      <c r="V18" s="46"/>
      <c r="W18" s="46"/>
      <c r="X18" s="46"/>
    </row>
    <row r="19" spans="1:26" ht="15" customHeight="1" x14ac:dyDescent="0.2">
      <c r="A19" s="105"/>
      <c r="B19" s="105"/>
      <c r="C19" s="10" t="s">
        <v>91</v>
      </c>
      <c r="D19" s="35">
        <v>1</v>
      </c>
      <c r="E19" s="13"/>
      <c r="F19" s="35"/>
      <c r="G19" s="35"/>
      <c r="H19" s="35">
        <v>0</v>
      </c>
      <c r="I19" s="13"/>
      <c r="J19" s="35"/>
      <c r="K19" s="35"/>
      <c r="L19" s="13">
        <v>1</v>
      </c>
      <c r="M19" s="21">
        <f>AVERAGE(D19,H19)</f>
        <v>0.5</v>
      </c>
      <c r="N19" s="8">
        <f t="shared" si="10"/>
        <v>10</v>
      </c>
      <c r="O19" s="1"/>
      <c r="P19" s="46"/>
      <c r="Q19" s="46"/>
      <c r="R19" s="46"/>
      <c r="S19" s="46"/>
      <c r="T19" s="46"/>
      <c r="U19" s="46"/>
      <c r="V19" s="46"/>
      <c r="W19" s="46"/>
      <c r="X19" s="46"/>
    </row>
    <row r="20" spans="1:26" ht="15" customHeight="1" x14ac:dyDescent="0.2">
      <c r="A20" s="100"/>
      <c r="B20" s="100"/>
      <c r="C20" s="10" t="s">
        <v>94</v>
      </c>
      <c r="D20" s="35">
        <v>160</v>
      </c>
      <c r="E20" s="13"/>
      <c r="F20" s="35"/>
      <c r="G20" s="35"/>
      <c r="H20" s="35">
        <v>53</v>
      </c>
      <c r="I20" s="13"/>
      <c r="J20" s="35"/>
      <c r="K20" s="35"/>
      <c r="L20" s="13">
        <v>1</v>
      </c>
      <c r="M20" s="21">
        <f>AVERAGE(D20,H20)</f>
        <v>106.5</v>
      </c>
      <c r="N20" s="8">
        <f t="shared" si="10"/>
        <v>2130</v>
      </c>
      <c r="O20" s="1"/>
      <c r="P20" s="46"/>
      <c r="Q20" s="46"/>
      <c r="R20" s="46"/>
      <c r="S20" s="46"/>
      <c r="T20" s="46"/>
      <c r="U20" s="46"/>
      <c r="V20" s="46"/>
      <c r="W20" s="46"/>
      <c r="X20" s="46"/>
    </row>
    <row r="21" spans="1:26" ht="16" customHeight="1" x14ac:dyDescent="0.2">
      <c r="A21" s="99" t="s">
        <v>143</v>
      </c>
      <c r="B21" s="99" t="s">
        <v>138</v>
      </c>
      <c r="C21" s="10" t="s">
        <v>88</v>
      </c>
      <c r="D21" s="62">
        <v>13</v>
      </c>
      <c r="E21" s="35">
        <v>6</v>
      </c>
      <c r="F21" s="62">
        <v>0</v>
      </c>
      <c r="G21" s="62">
        <v>1</v>
      </c>
      <c r="H21" s="81">
        <v>20</v>
      </c>
      <c r="I21" s="35">
        <v>5</v>
      </c>
      <c r="J21" s="62">
        <v>1</v>
      </c>
      <c r="K21" s="62">
        <v>0</v>
      </c>
      <c r="L21" s="13">
        <v>0.1</v>
      </c>
      <c r="M21" s="21">
        <f>AVERAGE(E21,I21)</f>
        <v>5.5</v>
      </c>
      <c r="N21" s="8">
        <f>(M21/(0.05*L21))*0.2</f>
        <v>219.99999999999997</v>
      </c>
      <c r="O21" s="1"/>
      <c r="P21" s="46"/>
      <c r="Q21" s="46"/>
      <c r="R21" s="46"/>
      <c r="S21" s="46"/>
      <c r="T21" s="46"/>
      <c r="U21" s="46"/>
      <c r="V21" s="46"/>
      <c r="W21" s="46"/>
      <c r="X21" s="46"/>
    </row>
    <row r="22" spans="1:26" x14ac:dyDescent="0.2">
      <c r="A22" s="105"/>
      <c r="B22" s="105"/>
      <c r="C22" s="10" t="s">
        <v>89</v>
      </c>
      <c r="D22" s="62">
        <v>16</v>
      </c>
      <c r="E22" s="35">
        <v>18</v>
      </c>
      <c r="F22" s="62">
        <v>4</v>
      </c>
      <c r="G22" s="62">
        <v>0</v>
      </c>
      <c r="H22" s="62">
        <v>14</v>
      </c>
      <c r="I22" s="35">
        <v>20</v>
      </c>
      <c r="J22" s="62">
        <v>5</v>
      </c>
      <c r="K22" s="62">
        <v>0</v>
      </c>
      <c r="L22" s="13">
        <v>0.1</v>
      </c>
      <c r="M22" s="21">
        <f t="shared" ref="M22:M23" si="11">AVERAGE(E22,I22)</f>
        <v>19</v>
      </c>
      <c r="N22" s="8">
        <f>(M22/(0.05*L22))*0.2</f>
        <v>759.99999999999989</v>
      </c>
      <c r="O22" s="1"/>
      <c r="P22" s="46"/>
      <c r="Q22" s="46"/>
      <c r="R22" s="46"/>
      <c r="S22" s="46"/>
      <c r="T22" s="46"/>
      <c r="U22" s="46"/>
      <c r="V22" s="46"/>
      <c r="W22" s="46"/>
      <c r="X22" s="46"/>
    </row>
    <row r="23" spans="1:26" x14ac:dyDescent="0.2">
      <c r="A23" s="100"/>
      <c r="B23" s="100"/>
      <c r="C23" s="10" t="s">
        <v>93</v>
      </c>
      <c r="D23" s="62">
        <v>9</v>
      </c>
      <c r="E23" s="35">
        <v>8</v>
      </c>
      <c r="F23" s="62" t="s">
        <v>146</v>
      </c>
      <c r="G23" s="62">
        <v>0</v>
      </c>
      <c r="H23" s="62">
        <v>6</v>
      </c>
      <c r="I23" s="35">
        <v>8</v>
      </c>
      <c r="J23" s="62">
        <v>1</v>
      </c>
      <c r="K23" s="62">
        <v>0</v>
      </c>
      <c r="L23" s="13">
        <v>0.1</v>
      </c>
      <c r="M23" s="21">
        <f t="shared" si="11"/>
        <v>8</v>
      </c>
      <c r="N23" s="8">
        <f>(M23/(0.05*L23))*0.2</f>
        <v>320</v>
      </c>
      <c r="O23" s="1"/>
      <c r="P23" s="46"/>
      <c r="Q23" s="46"/>
      <c r="R23" s="46"/>
      <c r="S23" s="46"/>
      <c r="T23" s="46"/>
      <c r="U23" s="46"/>
      <c r="V23" s="46"/>
      <c r="W23" s="46"/>
      <c r="X23" s="46"/>
    </row>
    <row r="24" spans="1:26" ht="16" customHeight="1" x14ac:dyDescent="0.2">
      <c r="A24" s="101" t="s">
        <v>144</v>
      </c>
      <c r="B24" s="99" t="s">
        <v>138</v>
      </c>
      <c r="C24" s="10" t="s">
        <v>90</v>
      </c>
      <c r="D24" s="13" t="s">
        <v>63</v>
      </c>
      <c r="E24" s="13" t="s">
        <v>63</v>
      </c>
      <c r="F24" s="13" t="s">
        <v>63</v>
      </c>
      <c r="G24" s="13" t="s">
        <v>63</v>
      </c>
      <c r="H24" s="13" t="s">
        <v>63</v>
      </c>
      <c r="I24" s="13" t="s">
        <v>63</v>
      </c>
      <c r="J24" s="35">
        <v>155</v>
      </c>
      <c r="K24" s="81" t="s">
        <v>63</v>
      </c>
      <c r="L24" s="13">
        <v>0.01</v>
      </c>
      <c r="M24" s="21">
        <f>AVERAGE(J24)</f>
        <v>155</v>
      </c>
      <c r="N24" s="8">
        <f t="shared" ref="N24:N25" si="12">(M24/(0.01*L24))*0.2</f>
        <v>310000</v>
      </c>
      <c r="O24" s="1"/>
      <c r="P24" s="46"/>
      <c r="Q24" s="46"/>
      <c r="R24" s="46"/>
      <c r="S24" s="46"/>
      <c r="T24" s="46"/>
      <c r="U24" s="46"/>
      <c r="V24" s="46"/>
      <c r="W24" s="46"/>
      <c r="X24" s="46"/>
    </row>
    <row r="25" spans="1:26" ht="15" customHeight="1" x14ac:dyDescent="0.2">
      <c r="A25" s="102"/>
      <c r="B25" s="105"/>
      <c r="C25" s="10" t="s">
        <v>91</v>
      </c>
      <c r="D25" s="13">
        <v>88</v>
      </c>
      <c r="E25" s="13">
        <v>114</v>
      </c>
      <c r="F25" s="35">
        <v>86</v>
      </c>
      <c r="G25" s="62">
        <v>6</v>
      </c>
      <c r="H25" s="13">
        <v>92</v>
      </c>
      <c r="I25" s="13">
        <v>121</v>
      </c>
      <c r="J25" s="35">
        <v>69</v>
      </c>
      <c r="K25" s="62">
        <v>6</v>
      </c>
      <c r="L25" s="13">
        <v>0.01</v>
      </c>
      <c r="M25" s="21">
        <f>AVERAGE(J25,F25)</f>
        <v>77.5</v>
      </c>
      <c r="N25" s="8">
        <f t="shared" si="12"/>
        <v>155000</v>
      </c>
      <c r="O25" s="1"/>
      <c r="P25" s="46"/>
      <c r="Q25" s="46"/>
      <c r="R25" s="46"/>
      <c r="S25" s="46"/>
      <c r="T25" s="46"/>
      <c r="U25" s="46"/>
      <c r="V25" s="46"/>
      <c r="W25" s="46"/>
      <c r="X25" s="46"/>
    </row>
    <row r="26" spans="1:26" ht="15" customHeight="1" x14ac:dyDescent="0.2">
      <c r="A26" s="103"/>
      <c r="B26" s="100"/>
      <c r="C26" s="10" t="s">
        <v>94</v>
      </c>
      <c r="D26" s="13">
        <v>8</v>
      </c>
      <c r="E26" s="35">
        <v>13</v>
      </c>
      <c r="F26" s="62">
        <v>3</v>
      </c>
      <c r="G26" s="62">
        <v>0</v>
      </c>
      <c r="H26" s="13">
        <v>14</v>
      </c>
      <c r="I26" s="35">
        <v>11</v>
      </c>
      <c r="J26" s="62">
        <v>3</v>
      </c>
      <c r="K26" s="62">
        <v>0</v>
      </c>
      <c r="L26" s="13">
        <v>0.1</v>
      </c>
      <c r="M26" s="21">
        <f t="shared" ref="M26" si="13">AVERAGE(E26,I26)</f>
        <v>12</v>
      </c>
      <c r="N26" s="8">
        <f>(M26/(0.01*L26))*0.2</f>
        <v>2400</v>
      </c>
      <c r="O26" s="1"/>
      <c r="P26" s="46"/>
      <c r="Q26" s="46"/>
      <c r="R26" s="46"/>
      <c r="S26" s="46"/>
      <c r="T26" s="46"/>
      <c r="U26" s="46"/>
      <c r="V26" s="46"/>
      <c r="W26" s="46"/>
      <c r="X26" s="46"/>
    </row>
    <row r="27" spans="1:26" ht="15" customHeight="1" x14ac:dyDescent="0.2">
      <c r="A27" s="2" t="s">
        <v>69</v>
      </c>
      <c r="B27" s="2"/>
      <c r="C27" s="2"/>
      <c r="D27" s="2">
        <v>1</v>
      </c>
      <c r="E27" s="2">
        <f>D27/10</f>
        <v>0.1</v>
      </c>
      <c r="F27" s="2">
        <f>E27/10</f>
        <v>0.01</v>
      </c>
      <c r="G27" s="2">
        <v>1E-3</v>
      </c>
      <c r="H27" s="2">
        <v>1</v>
      </c>
      <c r="I27" s="2">
        <f>H27/10</f>
        <v>0.1</v>
      </c>
      <c r="J27" s="2">
        <f>I27/10</f>
        <v>0.01</v>
      </c>
      <c r="K27">
        <v>1E-3</v>
      </c>
      <c r="N27" s="1"/>
      <c r="O27" s="1"/>
      <c r="P27" s="41"/>
      <c r="Q27" s="41"/>
      <c r="R27" s="38"/>
      <c r="S27" s="38"/>
      <c r="T27" s="46"/>
      <c r="U27" s="46"/>
      <c r="V27" s="46"/>
      <c r="W27" s="47"/>
      <c r="X27" s="47"/>
    </row>
    <row r="28" spans="1:26" x14ac:dyDescent="0.2">
      <c r="A28" s="108" t="s">
        <v>145</v>
      </c>
      <c r="B28" s="108"/>
      <c r="C28" s="108"/>
      <c r="D28" s="108"/>
      <c r="O28" s="1"/>
      <c r="P28" s="41"/>
      <c r="Q28" s="41"/>
      <c r="R28" s="38"/>
      <c r="S28" s="38"/>
      <c r="T28" s="46"/>
      <c r="U28" s="48"/>
      <c r="V28" s="48"/>
      <c r="W28" s="47"/>
      <c r="X28" s="47"/>
    </row>
    <row r="29" spans="1:26" ht="15" customHeight="1" x14ac:dyDescent="0.2">
      <c r="E29" s="36"/>
      <c r="O29" s="1"/>
      <c r="P29" s="41"/>
      <c r="Q29" s="41"/>
      <c r="R29" s="38"/>
      <c r="S29" s="38"/>
      <c r="T29" s="46"/>
      <c r="U29" s="48"/>
      <c r="V29" s="48"/>
      <c r="W29" s="47"/>
      <c r="X29" s="47"/>
    </row>
    <row r="30" spans="1:26" ht="16" customHeight="1" x14ac:dyDescent="0.2">
      <c r="O30" s="1"/>
      <c r="P30" s="41"/>
      <c r="Q30" s="41"/>
      <c r="R30" s="38"/>
      <c r="S30" s="38"/>
      <c r="T30" s="46"/>
      <c r="U30" s="48"/>
      <c r="V30" s="48"/>
      <c r="W30" s="47"/>
      <c r="X30" s="47"/>
      <c r="Z30" s="1"/>
    </row>
    <row r="31" spans="1:26" ht="15" customHeight="1" x14ac:dyDescent="0.2">
      <c r="O31" s="1"/>
      <c r="P31" s="46"/>
      <c r="Q31" s="46"/>
      <c r="R31" s="6" t="s">
        <v>3</v>
      </c>
      <c r="S31" s="6" t="s">
        <v>140</v>
      </c>
      <c r="T31" s="6" t="s">
        <v>139</v>
      </c>
      <c r="U31" s="6" t="s">
        <v>112</v>
      </c>
      <c r="V31" s="6" t="s">
        <v>3</v>
      </c>
      <c r="W31" s="6" t="s">
        <v>140</v>
      </c>
      <c r="X31" s="6" t="s">
        <v>139</v>
      </c>
      <c r="Y31" s="6" t="s">
        <v>112</v>
      </c>
    </row>
    <row r="32" spans="1:26" ht="17" x14ac:dyDescent="0.2">
      <c r="O32" s="1"/>
      <c r="P32" s="46"/>
      <c r="Q32" s="46"/>
      <c r="R32" s="6" t="s">
        <v>141</v>
      </c>
      <c r="S32" s="6" t="s">
        <v>141</v>
      </c>
      <c r="T32" s="6" t="s">
        <v>141</v>
      </c>
      <c r="U32" s="6" t="s">
        <v>141</v>
      </c>
      <c r="V32" s="80" t="s">
        <v>138</v>
      </c>
      <c r="W32" s="6" t="s">
        <v>138</v>
      </c>
      <c r="X32" s="80" t="s">
        <v>138</v>
      </c>
      <c r="Y32" s="80" t="s">
        <v>138</v>
      </c>
    </row>
    <row r="33" spans="10:24" ht="17" x14ac:dyDescent="0.2">
      <c r="O33" s="1"/>
      <c r="P33" s="6" t="s">
        <v>3</v>
      </c>
      <c r="Q33" s="6" t="s">
        <v>141</v>
      </c>
    </row>
    <row r="34" spans="10:24" ht="17" x14ac:dyDescent="0.2">
      <c r="O34" s="1"/>
      <c r="P34" s="6" t="s">
        <v>140</v>
      </c>
      <c r="Q34" s="6" t="s">
        <v>141</v>
      </c>
      <c r="R34">
        <f>TTEST(N$3:N$5,N6:N8,2,2)</f>
        <v>7.2690649367379748E-2</v>
      </c>
    </row>
    <row r="35" spans="10:24" ht="17" x14ac:dyDescent="0.2">
      <c r="J35" s="1"/>
      <c r="K35" s="1"/>
      <c r="O35" s="1"/>
      <c r="P35" s="6" t="s">
        <v>139</v>
      </c>
      <c r="Q35" s="6" t="s">
        <v>141</v>
      </c>
      <c r="R35">
        <f>TTEST(N$3:N$5,N9:N11,2,2)</f>
        <v>7.7064037573581323E-2</v>
      </c>
      <c r="S35">
        <f>TTEST(N$6:N$8,N9:N11,2,2)</f>
        <v>0.66732650802531557</v>
      </c>
    </row>
    <row r="36" spans="10:24" ht="17" x14ac:dyDescent="0.2">
      <c r="J36" s="1"/>
      <c r="K36" s="1"/>
      <c r="O36" s="1"/>
      <c r="P36" s="6" t="s">
        <v>112</v>
      </c>
      <c r="Q36" s="6" t="s">
        <v>141</v>
      </c>
      <c r="R36">
        <f>TTEST(N$3:N$5,N12:N14,2,2)</f>
        <v>0.56077157226981234</v>
      </c>
      <c r="S36">
        <f>TTEST(N$6:N$8,N12:N14,2,2)</f>
        <v>0.17473028536046223</v>
      </c>
      <c r="T36">
        <f>TTEST(N$9:N$11,N12:N14,2,2)</f>
        <v>0.18640564726714556</v>
      </c>
    </row>
    <row r="37" spans="10:24" ht="15" customHeight="1" x14ac:dyDescent="0.2">
      <c r="O37" s="1"/>
      <c r="P37" s="6" t="s">
        <v>3</v>
      </c>
      <c r="Q37" s="80" t="s">
        <v>138</v>
      </c>
      <c r="R37">
        <f>TTEST(N$3:N$5,N15:N17,2,2)</f>
        <v>8.44887735361919E-2</v>
      </c>
      <c r="S37">
        <f>TTEST(N$6:N$8,N15:N17,2,2)</f>
        <v>0.51248777015276392</v>
      </c>
      <c r="T37">
        <f>TTEST(N$9:N$11,N15:N17,2,2)</f>
        <v>0.72321768596205338</v>
      </c>
      <c r="U37">
        <f>TTEST(N$12:N$14,N15:N17,2,2)</f>
        <v>0.20575784535756383</v>
      </c>
    </row>
    <row r="38" spans="10:24" ht="15" customHeight="1" x14ac:dyDescent="0.2">
      <c r="O38" s="1"/>
      <c r="P38" s="6" t="s">
        <v>140</v>
      </c>
      <c r="Q38" s="6" t="s">
        <v>138</v>
      </c>
      <c r="R38">
        <f>TTEST(N$3:N$5,N18:N20,2,2)</f>
        <v>8.2514903372581994E-2</v>
      </c>
      <c r="S38">
        <f>TTEST(N$6:N$8,N18:N20,2,2)</f>
        <v>0.7571114792311473</v>
      </c>
      <c r="T38">
        <f>TTEST(N$9:N$11,N18:N20,2,2)</f>
        <v>0.9223648294299609</v>
      </c>
      <c r="U38">
        <f>TTEST(N$12:N$14,N18:N20,2,2)</f>
        <v>0.19870001403355869</v>
      </c>
      <c r="V38">
        <f>TTEST(N$15:N$17,N18:N20,2,2)</f>
        <v>0.8725979405518749</v>
      </c>
    </row>
    <row r="39" spans="10:24" ht="15" customHeight="1" x14ac:dyDescent="0.2">
      <c r="O39" s="1"/>
      <c r="P39" s="6" t="s">
        <v>139</v>
      </c>
      <c r="Q39" s="80" t="s">
        <v>138</v>
      </c>
      <c r="R39">
        <f>TTEST(N$3:N$5,N21:N23,2,2)</f>
        <v>7.172515398604154E-2</v>
      </c>
      <c r="S39">
        <f>TTEST(N$6:N$8,N21:N23,2,2)</f>
        <v>0.85506485104739993</v>
      </c>
      <c r="T39">
        <f>TTEST(N$9:N$11,N21:N23,2,2)</f>
        <v>0.59280385041288353</v>
      </c>
      <c r="U39">
        <f>TTEST(N$12:N$14,N21:N23,2,2)</f>
        <v>0.17202639179588305</v>
      </c>
      <c r="V39">
        <f>TTEST(N$15:N$17,N21:N23,2,2)</f>
        <v>0.4720799725606975</v>
      </c>
      <c r="W39">
        <f>TTEST(N$18:N$20,N21:N23,2,2)</f>
        <v>0.71618376733100553</v>
      </c>
    </row>
    <row r="40" spans="10:24" ht="17" x14ac:dyDescent="0.2">
      <c r="O40" s="1"/>
      <c r="P40" s="6" t="s">
        <v>112</v>
      </c>
      <c r="Q40" s="80" t="s">
        <v>138</v>
      </c>
      <c r="R40">
        <f>TTEST(N$3:N$5,N25:N26,2,2)</f>
        <v>0.307658165073117</v>
      </c>
      <c r="S40">
        <f>TTEST(N$6:N$8,N25:N26,2,2)</f>
        <v>0.26270378624876978</v>
      </c>
      <c r="T40">
        <f>TTEST(N$9:N$11,N25:N26,2,2)</f>
        <v>0.26348718387093645</v>
      </c>
      <c r="U40">
        <f>TTEST(N$12:N$14,N25:N26,2,2)</f>
        <v>0.29097498046600412</v>
      </c>
      <c r="V40">
        <f>TTEST(N$15:N$17,N25:N26,2,2)</f>
        <v>0.26462865125204388</v>
      </c>
      <c r="W40">
        <f>TTEST(N$18:N$20,N25:N26,2,2)</f>
        <v>0.26391728992068453</v>
      </c>
      <c r="X40">
        <f>TTEST(N$21:N$23,N25:N26,2,2)</f>
        <v>0.26249093569124621</v>
      </c>
    </row>
    <row r="41" spans="10:24" ht="15" customHeight="1" x14ac:dyDescent="0.2">
      <c r="O41" s="1"/>
    </row>
    <row r="42" spans="10:24" ht="16" customHeight="1" x14ac:dyDescent="0.2">
      <c r="O42" s="1"/>
    </row>
    <row r="43" spans="10:24" ht="15" customHeight="1" x14ac:dyDescent="0.2">
      <c r="O43" s="1"/>
    </row>
    <row r="44" spans="10:24" x14ac:dyDescent="0.2">
      <c r="O44" s="1"/>
    </row>
    <row r="45" spans="10:24" x14ac:dyDescent="0.2">
      <c r="O45" s="1"/>
    </row>
    <row r="46" spans="10:24" x14ac:dyDescent="0.2">
      <c r="O46" s="1"/>
    </row>
    <row r="47" spans="10:24" x14ac:dyDescent="0.2">
      <c r="O47" s="1"/>
    </row>
  </sheetData>
  <mergeCells count="21">
    <mergeCell ref="A6:A8"/>
    <mergeCell ref="A9:A11"/>
    <mergeCell ref="A28:D28"/>
    <mergeCell ref="A21:A23"/>
    <mergeCell ref="A24:A26"/>
    <mergeCell ref="A12:A14"/>
    <mergeCell ref="A15:A17"/>
    <mergeCell ref="A18:A20"/>
    <mergeCell ref="B6:B8"/>
    <mergeCell ref="B9:B11"/>
    <mergeCell ref="B12:B14"/>
    <mergeCell ref="B15:B17"/>
    <mergeCell ref="B18:B20"/>
    <mergeCell ref="B21:B23"/>
    <mergeCell ref="B24:B26"/>
    <mergeCell ref="P1:W1"/>
    <mergeCell ref="Z1:AF1"/>
    <mergeCell ref="D1:F1"/>
    <mergeCell ref="H1:J1"/>
    <mergeCell ref="A3:A5"/>
    <mergeCell ref="B3:B5"/>
  </mergeCells>
  <pageMargins left="0.75" right="0.75" top="1" bottom="1" header="0.5" footer="0.5"/>
  <pageSetup scale="17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B7E8-08E7-624C-826A-BDF580F5108A}">
  <dimension ref="A1:M47"/>
  <sheetViews>
    <sheetView topLeftCell="A21" zoomScale="90" zoomScaleNormal="90" workbookViewId="0">
      <selection activeCell="O29" sqref="O29"/>
    </sheetView>
  </sheetViews>
  <sheetFormatPr baseColWidth="10" defaultRowHeight="16" x14ac:dyDescent="0.2"/>
  <sheetData>
    <row r="1" spans="1:10" x14ac:dyDescent="0.2">
      <c r="A1" t="s">
        <v>151</v>
      </c>
    </row>
    <row r="3" spans="1:10" ht="51" x14ac:dyDescent="0.2">
      <c r="B3" s="27">
        <v>1</v>
      </c>
      <c r="C3" s="83">
        <v>2</v>
      </c>
      <c r="D3" s="83">
        <v>3</v>
      </c>
      <c r="E3" s="83">
        <v>4</v>
      </c>
      <c r="F3" s="83">
        <v>1</v>
      </c>
      <c r="G3" s="83">
        <v>2</v>
      </c>
      <c r="H3" s="83">
        <v>3</v>
      </c>
      <c r="I3" s="83">
        <v>4</v>
      </c>
      <c r="J3" s="84" t="s">
        <v>57</v>
      </c>
    </row>
    <row r="4" spans="1:10" x14ac:dyDescent="0.2">
      <c r="A4" s="101" t="s">
        <v>141</v>
      </c>
      <c r="B4" s="85" t="s">
        <v>63</v>
      </c>
      <c r="C4" s="86">
        <v>27</v>
      </c>
      <c r="D4" s="87">
        <v>3</v>
      </c>
      <c r="E4" s="87">
        <v>0</v>
      </c>
      <c r="F4" s="87" t="s">
        <v>63</v>
      </c>
      <c r="G4" s="86">
        <v>42</v>
      </c>
      <c r="H4" s="87">
        <v>2</v>
      </c>
      <c r="I4" s="87">
        <v>0</v>
      </c>
      <c r="J4" s="87">
        <v>0.1</v>
      </c>
    </row>
    <row r="5" spans="1:10" x14ac:dyDescent="0.2">
      <c r="A5" s="102"/>
      <c r="B5" s="85" t="s">
        <v>63</v>
      </c>
      <c r="C5" s="86">
        <v>78</v>
      </c>
      <c r="D5" s="87">
        <v>9</v>
      </c>
      <c r="E5" s="87">
        <v>0</v>
      </c>
      <c r="F5" s="87" t="s">
        <v>63</v>
      </c>
      <c r="G5" s="86">
        <v>76</v>
      </c>
      <c r="H5" s="87">
        <v>10</v>
      </c>
      <c r="I5" s="87">
        <v>0</v>
      </c>
      <c r="J5" s="87">
        <v>0.1</v>
      </c>
    </row>
    <row r="6" spans="1:10" x14ac:dyDescent="0.2">
      <c r="A6" s="103"/>
      <c r="B6" s="85" t="s">
        <v>63</v>
      </c>
      <c r="C6" s="86">
        <v>17</v>
      </c>
      <c r="D6" s="87">
        <v>1</v>
      </c>
      <c r="E6" s="87">
        <v>0</v>
      </c>
      <c r="F6" s="87" t="s">
        <v>63</v>
      </c>
      <c r="G6" s="86">
        <v>23</v>
      </c>
      <c r="H6" s="87">
        <v>1</v>
      </c>
      <c r="I6" s="87">
        <v>0</v>
      </c>
      <c r="J6" s="87">
        <v>0.1</v>
      </c>
    </row>
    <row r="7" spans="1:10" x14ac:dyDescent="0.2">
      <c r="A7" s="99" t="s">
        <v>138</v>
      </c>
      <c r="B7" s="62" t="s">
        <v>63</v>
      </c>
      <c r="C7" s="35">
        <v>37</v>
      </c>
      <c r="D7" s="62">
        <v>10</v>
      </c>
      <c r="E7" s="62">
        <v>0</v>
      </c>
      <c r="F7" s="81" t="s">
        <v>63</v>
      </c>
      <c r="G7" s="35">
        <v>58</v>
      </c>
      <c r="H7" s="62">
        <v>20</v>
      </c>
      <c r="I7" s="62">
        <v>0</v>
      </c>
      <c r="J7" s="13">
        <v>0.1</v>
      </c>
    </row>
    <row r="8" spans="1:10" x14ac:dyDescent="0.2">
      <c r="A8" s="105"/>
      <c r="B8" s="62">
        <v>60</v>
      </c>
      <c r="C8" s="35">
        <v>6</v>
      </c>
      <c r="D8" s="62">
        <v>2</v>
      </c>
      <c r="E8" s="62">
        <v>0</v>
      </c>
      <c r="F8" s="62">
        <v>43</v>
      </c>
      <c r="G8" s="35">
        <v>6</v>
      </c>
      <c r="H8" s="62">
        <v>0</v>
      </c>
      <c r="I8" s="62">
        <v>0</v>
      </c>
      <c r="J8" s="13">
        <v>0.1</v>
      </c>
    </row>
    <row r="9" spans="1:10" x14ac:dyDescent="0.2">
      <c r="A9" s="100"/>
      <c r="B9" s="62">
        <v>18</v>
      </c>
      <c r="C9" s="35">
        <v>13</v>
      </c>
      <c r="D9" s="62">
        <v>1</v>
      </c>
      <c r="E9" s="62">
        <v>0</v>
      </c>
      <c r="F9" s="62">
        <v>13</v>
      </c>
      <c r="G9" s="35">
        <v>10</v>
      </c>
      <c r="H9" s="62">
        <v>2</v>
      </c>
      <c r="I9" s="62">
        <v>0</v>
      </c>
      <c r="J9" s="13">
        <v>0.1</v>
      </c>
    </row>
    <row r="10" spans="1:10" x14ac:dyDescent="0.2">
      <c r="A10" t="s">
        <v>100</v>
      </c>
    </row>
    <row r="11" spans="1:10" x14ac:dyDescent="0.2">
      <c r="A11" s="101" t="s">
        <v>141</v>
      </c>
      <c r="B11" s="2">
        <v>100</v>
      </c>
      <c r="C11" s="2">
        <f t="shared" ref="C11:E16" si="0">AVERAGE(C4,G4)</f>
        <v>34.5</v>
      </c>
      <c r="D11" s="2">
        <f t="shared" si="0"/>
        <v>2.5</v>
      </c>
      <c r="E11" s="2">
        <f t="shared" si="0"/>
        <v>0</v>
      </c>
    </row>
    <row r="12" spans="1:10" x14ac:dyDescent="0.2">
      <c r="A12" s="102"/>
      <c r="B12" s="2">
        <v>100</v>
      </c>
      <c r="C12" s="2">
        <f t="shared" si="0"/>
        <v>77</v>
      </c>
      <c r="D12" s="2">
        <f t="shared" si="0"/>
        <v>9.5</v>
      </c>
      <c r="E12" s="2">
        <f t="shared" si="0"/>
        <v>0</v>
      </c>
    </row>
    <row r="13" spans="1:10" x14ac:dyDescent="0.2">
      <c r="A13" s="103"/>
      <c r="B13" s="2">
        <v>100</v>
      </c>
      <c r="C13" s="2">
        <f t="shared" si="0"/>
        <v>20</v>
      </c>
      <c r="D13" s="2">
        <f t="shared" si="0"/>
        <v>1</v>
      </c>
      <c r="E13" s="2">
        <f t="shared" si="0"/>
        <v>0</v>
      </c>
    </row>
    <row r="14" spans="1:10" x14ac:dyDescent="0.2">
      <c r="A14" s="99" t="s">
        <v>138</v>
      </c>
      <c r="B14" s="2">
        <v>100</v>
      </c>
      <c r="C14" s="2">
        <f t="shared" si="0"/>
        <v>47.5</v>
      </c>
      <c r="D14" s="2">
        <f t="shared" si="0"/>
        <v>15</v>
      </c>
      <c r="E14" s="2">
        <f t="shared" si="0"/>
        <v>0</v>
      </c>
    </row>
    <row r="15" spans="1:10" x14ac:dyDescent="0.2">
      <c r="A15" s="105"/>
      <c r="B15" s="2">
        <f>AVERAGE(B8,F8)</f>
        <v>51.5</v>
      </c>
      <c r="C15" s="2">
        <f t="shared" si="0"/>
        <v>6</v>
      </c>
      <c r="D15" s="2">
        <f t="shared" si="0"/>
        <v>1</v>
      </c>
      <c r="E15" s="2">
        <f t="shared" si="0"/>
        <v>0</v>
      </c>
    </row>
    <row r="16" spans="1:10" x14ac:dyDescent="0.2">
      <c r="A16" s="100"/>
      <c r="B16" s="2">
        <f>AVERAGE(B9,F9)</f>
        <v>15.5</v>
      </c>
      <c r="C16" s="2">
        <f t="shared" si="0"/>
        <v>11.5</v>
      </c>
      <c r="D16" s="2">
        <f t="shared" si="0"/>
        <v>1.5</v>
      </c>
      <c r="E16" s="2">
        <f t="shared" si="0"/>
        <v>0</v>
      </c>
    </row>
    <row r="18" spans="1:13" x14ac:dyDescent="0.2">
      <c r="A18" t="s">
        <v>79</v>
      </c>
      <c r="B18" s="2" t="s">
        <v>153</v>
      </c>
      <c r="C18" s="2" t="s">
        <v>152</v>
      </c>
    </row>
    <row r="19" spans="1:13" x14ac:dyDescent="0.2">
      <c r="B19" s="2"/>
      <c r="C19" s="2">
        <f t="shared" ref="C19:C24" si="1">C11/D11</f>
        <v>13.8</v>
      </c>
    </row>
    <row r="20" spans="1:13" x14ac:dyDescent="0.2">
      <c r="B20" s="2"/>
      <c r="C20" s="2">
        <f t="shared" si="1"/>
        <v>8.1052631578947363</v>
      </c>
    </row>
    <row r="21" spans="1:13" x14ac:dyDescent="0.2">
      <c r="B21" s="2"/>
      <c r="C21" s="2">
        <f t="shared" si="1"/>
        <v>20</v>
      </c>
    </row>
    <row r="22" spans="1:13" x14ac:dyDescent="0.2">
      <c r="B22" s="2"/>
      <c r="C22" s="2">
        <f t="shared" si="1"/>
        <v>3.1666666666666665</v>
      </c>
    </row>
    <row r="23" spans="1:13" x14ac:dyDescent="0.2">
      <c r="B23" s="2">
        <f>B15/C15</f>
        <v>8.5833333333333339</v>
      </c>
      <c r="C23" s="2">
        <f t="shared" si="1"/>
        <v>6</v>
      </c>
    </row>
    <row r="24" spans="1:13" x14ac:dyDescent="0.2">
      <c r="B24" s="2">
        <f>B16/C16</f>
        <v>1.3478260869565217</v>
      </c>
      <c r="C24" s="2">
        <f t="shared" si="1"/>
        <v>7.666666666666667</v>
      </c>
    </row>
    <row r="26" spans="1:13" x14ac:dyDescent="0.2">
      <c r="D26" t="s">
        <v>137</v>
      </c>
      <c r="E26" t="s">
        <v>138</v>
      </c>
    </row>
    <row r="27" spans="1:13" x14ac:dyDescent="0.2">
      <c r="A27" t="s">
        <v>154</v>
      </c>
    </row>
    <row r="28" spans="1:13" x14ac:dyDescent="0.2">
      <c r="A28" s="101" t="s">
        <v>141</v>
      </c>
      <c r="B28" s="35">
        <v>19</v>
      </c>
      <c r="C28" s="62">
        <v>1</v>
      </c>
      <c r="D28" s="13">
        <v>0</v>
      </c>
      <c r="E28" s="13">
        <v>0</v>
      </c>
      <c r="F28" s="35">
        <v>20</v>
      </c>
      <c r="G28" s="62">
        <v>3</v>
      </c>
      <c r="H28" s="13">
        <v>0</v>
      </c>
      <c r="I28" s="13">
        <v>0</v>
      </c>
      <c r="J28" s="13">
        <v>1</v>
      </c>
      <c r="L28" s="109" t="s">
        <v>137</v>
      </c>
      <c r="M28" t="s">
        <v>2</v>
      </c>
    </row>
    <row r="29" spans="1:13" x14ac:dyDescent="0.2">
      <c r="A29" s="102"/>
      <c r="B29" s="35">
        <v>11</v>
      </c>
      <c r="C29" s="62">
        <v>3</v>
      </c>
      <c r="D29" s="13">
        <v>1</v>
      </c>
      <c r="E29" s="13">
        <v>0</v>
      </c>
      <c r="F29" s="35">
        <v>16</v>
      </c>
      <c r="G29" s="62">
        <v>0</v>
      </c>
      <c r="H29" s="13">
        <v>1</v>
      </c>
      <c r="I29" s="13">
        <v>0</v>
      </c>
      <c r="J29" s="13">
        <v>1</v>
      </c>
      <c r="L29" s="109"/>
      <c r="M29" t="s">
        <v>5</v>
      </c>
    </row>
    <row r="30" spans="1:13" x14ac:dyDescent="0.2">
      <c r="A30" s="103"/>
      <c r="B30" s="35">
        <v>54</v>
      </c>
      <c r="C30" s="62">
        <v>7</v>
      </c>
      <c r="D30" s="13">
        <v>1</v>
      </c>
      <c r="E30" s="13">
        <v>0</v>
      </c>
      <c r="F30" s="35">
        <v>71</v>
      </c>
      <c r="G30" s="62">
        <v>7</v>
      </c>
      <c r="H30" s="13">
        <v>0</v>
      </c>
      <c r="I30" s="13">
        <v>0</v>
      </c>
      <c r="J30" s="13">
        <v>1</v>
      </c>
      <c r="L30" s="109"/>
      <c r="M30" t="s">
        <v>7</v>
      </c>
    </row>
    <row r="31" spans="1:13" x14ac:dyDescent="0.2">
      <c r="A31" s="99" t="s">
        <v>138</v>
      </c>
      <c r="B31" s="62">
        <v>13</v>
      </c>
      <c r="C31" s="35">
        <v>6</v>
      </c>
      <c r="D31" s="62">
        <v>0</v>
      </c>
      <c r="E31" s="62">
        <v>1</v>
      </c>
      <c r="F31" s="81">
        <v>20</v>
      </c>
      <c r="G31" s="35">
        <v>5</v>
      </c>
      <c r="H31" s="62">
        <v>1</v>
      </c>
      <c r="I31" s="62">
        <v>0</v>
      </c>
      <c r="J31" s="13">
        <v>0.1</v>
      </c>
      <c r="L31" s="109" t="s">
        <v>138</v>
      </c>
      <c r="M31" t="s">
        <v>2</v>
      </c>
    </row>
    <row r="32" spans="1:13" x14ac:dyDescent="0.2">
      <c r="A32" s="105"/>
      <c r="B32" s="62">
        <v>16</v>
      </c>
      <c r="C32" s="35">
        <v>18</v>
      </c>
      <c r="D32" s="62">
        <v>4</v>
      </c>
      <c r="E32" s="62">
        <v>0</v>
      </c>
      <c r="F32" s="62">
        <v>14</v>
      </c>
      <c r="G32" s="35">
        <v>20</v>
      </c>
      <c r="H32" s="62">
        <v>5</v>
      </c>
      <c r="I32" s="62">
        <v>0</v>
      </c>
      <c r="J32" s="13">
        <v>0.1</v>
      </c>
      <c r="L32" s="109"/>
      <c r="M32" t="s">
        <v>5</v>
      </c>
    </row>
    <row r="33" spans="1:13" x14ac:dyDescent="0.2">
      <c r="A33" s="100"/>
      <c r="B33" s="62">
        <v>9</v>
      </c>
      <c r="C33" s="35">
        <v>8</v>
      </c>
      <c r="D33" s="62" t="s">
        <v>146</v>
      </c>
      <c r="E33" s="62">
        <v>0</v>
      </c>
      <c r="F33" s="62">
        <v>6</v>
      </c>
      <c r="G33" s="35">
        <v>8</v>
      </c>
      <c r="H33" s="62">
        <v>1</v>
      </c>
      <c r="I33" s="62">
        <v>0</v>
      </c>
      <c r="J33" s="13">
        <v>0.1</v>
      </c>
      <c r="L33" s="109"/>
      <c r="M33" t="s">
        <v>7</v>
      </c>
    </row>
    <row r="34" spans="1:13" x14ac:dyDescent="0.2">
      <c r="A34" t="s">
        <v>100</v>
      </c>
      <c r="B34" t="s">
        <v>52</v>
      </c>
      <c r="C34" s="88">
        <v>4.8611111111111112E-2</v>
      </c>
    </row>
    <row r="35" spans="1:13" x14ac:dyDescent="0.2">
      <c r="A35" s="101" t="s">
        <v>141</v>
      </c>
      <c r="B35" s="2">
        <f>AVERAGE(B28,F28)</f>
        <v>19.5</v>
      </c>
      <c r="C35" s="2">
        <f t="shared" ref="C35:E35" si="2">AVERAGE(C28,G28)</f>
        <v>2</v>
      </c>
      <c r="D35" s="2">
        <f t="shared" si="2"/>
        <v>0</v>
      </c>
      <c r="E35" s="2">
        <f t="shared" si="2"/>
        <v>0</v>
      </c>
    </row>
    <row r="36" spans="1:13" x14ac:dyDescent="0.2">
      <c r="A36" s="102"/>
      <c r="B36" s="2">
        <f t="shared" ref="B36:B40" si="3">AVERAGE(B29,F29)</f>
        <v>13.5</v>
      </c>
      <c r="C36" s="2">
        <f t="shared" ref="C36:C40" si="4">AVERAGE(C29,G29)</f>
        <v>1.5</v>
      </c>
      <c r="D36" s="2">
        <f t="shared" ref="D36:D40" si="5">AVERAGE(D29,H29)</f>
        <v>1</v>
      </c>
      <c r="E36" s="2">
        <f t="shared" ref="E36:E40" si="6">AVERAGE(E29,I29)</f>
        <v>0</v>
      </c>
    </row>
    <row r="37" spans="1:13" x14ac:dyDescent="0.2">
      <c r="A37" s="103"/>
      <c r="B37" s="2">
        <f t="shared" si="3"/>
        <v>62.5</v>
      </c>
      <c r="C37" s="2">
        <f t="shared" si="4"/>
        <v>7</v>
      </c>
      <c r="D37" s="2">
        <f t="shared" si="5"/>
        <v>0.5</v>
      </c>
      <c r="E37" s="2">
        <f t="shared" si="6"/>
        <v>0</v>
      </c>
    </row>
    <row r="38" spans="1:13" x14ac:dyDescent="0.2">
      <c r="A38" s="99" t="s">
        <v>138</v>
      </c>
      <c r="B38" s="2">
        <f t="shared" si="3"/>
        <v>16.5</v>
      </c>
      <c r="C38" s="2">
        <f t="shared" si="4"/>
        <v>5.5</v>
      </c>
      <c r="D38" s="2">
        <f t="shared" si="5"/>
        <v>0.5</v>
      </c>
      <c r="E38" s="2">
        <f t="shared" si="6"/>
        <v>0.5</v>
      </c>
    </row>
    <row r="39" spans="1:13" x14ac:dyDescent="0.2">
      <c r="A39" s="105"/>
      <c r="B39" s="2">
        <f t="shared" si="3"/>
        <v>15</v>
      </c>
      <c r="C39" s="2">
        <f t="shared" si="4"/>
        <v>19</v>
      </c>
      <c r="D39" s="2">
        <f t="shared" si="5"/>
        <v>4.5</v>
      </c>
      <c r="E39" s="2">
        <f t="shared" si="6"/>
        <v>0</v>
      </c>
    </row>
    <row r="40" spans="1:13" x14ac:dyDescent="0.2">
      <c r="A40" s="100"/>
      <c r="B40" s="2">
        <f t="shared" si="3"/>
        <v>7.5</v>
      </c>
      <c r="C40" s="2">
        <f t="shared" si="4"/>
        <v>8</v>
      </c>
      <c r="D40" s="2">
        <f t="shared" si="5"/>
        <v>1</v>
      </c>
      <c r="E40" s="2">
        <f t="shared" si="6"/>
        <v>0</v>
      </c>
    </row>
    <row r="41" spans="1:13" x14ac:dyDescent="0.2">
      <c r="A41" t="s">
        <v>79</v>
      </c>
      <c r="B41" s="2" t="s">
        <v>153</v>
      </c>
      <c r="C41" s="2" t="s">
        <v>152</v>
      </c>
    </row>
    <row r="42" spans="1:13" x14ac:dyDescent="0.2">
      <c r="A42" s="101" t="s">
        <v>141</v>
      </c>
      <c r="B42" s="2">
        <f>B35/C35</f>
        <v>9.75</v>
      </c>
      <c r="C42" s="2" t="e">
        <f>C35/D35</f>
        <v>#DIV/0!</v>
      </c>
    </row>
    <row r="43" spans="1:13" x14ac:dyDescent="0.2">
      <c r="A43" s="102"/>
      <c r="B43" s="2">
        <f t="shared" ref="B43:C47" si="7">B36/C36</f>
        <v>9</v>
      </c>
      <c r="C43" s="2">
        <f t="shared" si="7"/>
        <v>1.5</v>
      </c>
    </row>
    <row r="44" spans="1:13" x14ac:dyDescent="0.2">
      <c r="A44" s="103"/>
      <c r="B44" s="2">
        <f t="shared" si="7"/>
        <v>8.9285714285714288</v>
      </c>
      <c r="C44" s="2">
        <f t="shared" si="7"/>
        <v>14</v>
      </c>
    </row>
    <row r="45" spans="1:13" x14ac:dyDescent="0.2">
      <c r="A45" s="99" t="s">
        <v>138</v>
      </c>
      <c r="B45" s="2">
        <f t="shared" si="7"/>
        <v>3</v>
      </c>
      <c r="C45" s="2">
        <f t="shared" si="7"/>
        <v>11</v>
      </c>
    </row>
    <row r="46" spans="1:13" x14ac:dyDescent="0.2">
      <c r="A46" s="105"/>
      <c r="B46" s="2">
        <f t="shared" si="7"/>
        <v>0.78947368421052633</v>
      </c>
      <c r="C46" s="2">
        <f t="shared" si="7"/>
        <v>4.2222222222222223</v>
      </c>
    </row>
    <row r="47" spans="1:13" x14ac:dyDescent="0.2">
      <c r="A47" s="100"/>
      <c r="B47" s="2">
        <f t="shared" si="7"/>
        <v>0.9375</v>
      </c>
      <c r="C47" s="2">
        <f t="shared" si="7"/>
        <v>8</v>
      </c>
    </row>
  </sheetData>
  <mergeCells count="12">
    <mergeCell ref="A35:A37"/>
    <mergeCell ref="A38:A40"/>
    <mergeCell ref="A42:A44"/>
    <mergeCell ref="A45:A47"/>
    <mergeCell ref="L28:L30"/>
    <mergeCell ref="L31:L33"/>
    <mergeCell ref="A31:A33"/>
    <mergeCell ref="A7:A9"/>
    <mergeCell ref="A4:A6"/>
    <mergeCell ref="A11:A13"/>
    <mergeCell ref="A14:A16"/>
    <mergeCell ref="A28:A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PlateSetup</vt:lpstr>
      <vt:lpstr>PlatePlanning</vt:lpstr>
      <vt:lpstr>BacteriaCalcs</vt:lpstr>
      <vt:lpstr>Inoculum</vt:lpstr>
      <vt:lpstr>T=2</vt:lpstr>
      <vt:lpstr>T=24</vt:lpstr>
      <vt:lpstr>SDS vs saponin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2020-10-27T21:55:26Z</cp:lastPrinted>
  <dcterms:created xsi:type="dcterms:W3CDTF">2019-06-17T19:44:26Z</dcterms:created>
  <dcterms:modified xsi:type="dcterms:W3CDTF">2021-04-29T01:31:52Z</dcterms:modified>
</cp:coreProperties>
</file>