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Macrophage/"/>
    </mc:Choice>
  </mc:AlternateContent>
  <xr:revisionPtr revIDLastSave="0" documentId="13_ncr:1_{BAB75E41-8255-7C45-8200-19847499C737}" xr6:coauthVersionLast="47" xr6:coauthVersionMax="47" xr10:uidLastSave="{00000000-0000-0000-0000-000000000000}"/>
  <bookViews>
    <workbookView xWindow="2060" yWindow="500" windowWidth="32520" windowHeight="20080" activeTab="4" xr2:uid="{205ACA2F-8ED2-DB48-97DD-6C35F8214E47}"/>
  </bookViews>
  <sheets>
    <sheet name="PlateSetup" sheetId="6" r:id="rId1"/>
    <sheet name="PlatePlanning" sheetId="1" r:id="rId2"/>
    <sheet name="BacteriaCalcs" sheetId="2" r:id="rId3"/>
    <sheet name="Inoculum" sheetId="3" r:id="rId4"/>
    <sheet name="T=24" sheetId="5" r:id="rId5"/>
    <sheet name="NOT DONE" sheetId="4" r:id="rId6"/>
    <sheet name="combined_assays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55" i="5" l="1"/>
  <c r="R53" i="5"/>
  <c r="S53" i="5"/>
  <c r="K3" i="3"/>
  <c r="M29" i="5" l="1"/>
  <c r="L25" i="5"/>
  <c r="M25" i="5" s="1"/>
  <c r="L24" i="5"/>
  <c r="M24" i="5" s="1"/>
  <c r="L23" i="5"/>
  <c r="M23" i="5" s="1"/>
  <c r="L22" i="5"/>
  <c r="M22" i="5" s="1"/>
  <c r="M9" i="5"/>
  <c r="M8" i="5"/>
  <c r="L11" i="5"/>
  <c r="M11" i="5" s="1"/>
  <c r="L12" i="5"/>
  <c r="M12" i="5" s="1"/>
  <c r="L10" i="5"/>
  <c r="M10" i="5" s="1"/>
  <c r="L8" i="5"/>
  <c r="L9" i="5"/>
  <c r="L7" i="5"/>
  <c r="M7" i="5" s="1"/>
  <c r="L40" i="5"/>
  <c r="M40" i="5" s="1"/>
  <c r="L39" i="5"/>
  <c r="M39" i="5" s="1"/>
  <c r="L38" i="5"/>
  <c r="M38" i="5" s="1"/>
  <c r="R38" i="5" s="1"/>
  <c r="L21" i="5"/>
  <c r="M21" i="5" s="1"/>
  <c r="L20" i="5"/>
  <c r="M20" i="5" s="1"/>
  <c r="L19" i="5"/>
  <c r="M19" i="5" s="1"/>
  <c r="L5" i="5"/>
  <c r="M5" i="5" s="1"/>
  <c r="L6" i="5"/>
  <c r="M6" i="5" s="1"/>
  <c r="L4" i="5"/>
  <c r="M4" i="5" s="1"/>
  <c r="H50" i="5"/>
  <c r="I50" i="5" s="1"/>
  <c r="J50" i="5" s="1"/>
  <c r="D50" i="5"/>
  <c r="E50" i="5" s="1"/>
  <c r="F50" i="5" s="1"/>
  <c r="L49" i="5"/>
  <c r="M49" i="5" s="1"/>
  <c r="L48" i="5"/>
  <c r="M48" i="5" s="1"/>
  <c r="L47" i="5"/>
  <c r="M47" i="5" s="1"/>
  <c r="L46" i="5"/>
  <c r="M46" i="5" s="1"/>
  <c r="L45" i="5"/>
  <c r="M45" i="5" s="1"/>
  <c r="L44" i="5"/>
  <c r="M44" i="5" s="1"/>
  <c r="L43" i="5"/>
  <c r="M43" i="5" s="1"/>
  <c r="L42" i="5"/>
  <c r="M42" i="5" s="1"/>
  <c r="L41" i="5"/>
  <c r="M41" i="5" s="1"/>
  <c r="H31" i="5"/>
  <c r="I31" i="5" s="1"/>
  <c r="J31" i="5" s="1"/>
  <c r="D31" i="5"/>
  <c r="E31" i="5" s="1"/>
  <c r="F31" i="5" s="1"/>
  <c r="L30" i="5"/>
  <c r="M30" i="5" s="1"/>
  <c r="L29" i="5"/>
  <c r="L28" i="5"/>
  <c r="M28" i="5" s="1"/>
  <c r="L27" i="5"/>
  <c r="M27" i="5" s="1"/>
  <c r="L26" i="5"/>
  <c r="M26" i="5" s="1"/>
  <c r="D13" i="5"/>
  <c r="E13" i="5" s="1"/>
  <c r="F13" i="5" s="1"/>
  <c r="I7" i="2"/>
  <c r="I4" i="2"/>
  <c r="I5" i="2"/>
  <c r="I6" i="2"/>
  <c r="I3" i="2"/>
  <c r="S55" i="5" l="1"/>
  <c r="S54" i="5"/>
  <c r="T19" i="5"/>
  <c r="T38" i="5"/>
  <c r="R41" i="5"/>
  <c r="Q41" i="5"/>
  <c r="R40" i="5"/>
  <c r="Q40" i="5"/>
  <c r="R39" i="5"/>
  <c r="Q39" i="5"/>
  <c r="R22" i="5"/>
  <c r="Q22" i="5"/>
  <c r="Q21" i="5"/>
  <c r="R20" i="5"/>
  <c r="Q20" i="5"/>
  <c r="R19" i="5"/>
  <c r="Q19" i="5"/>
  <c r="R21" i="5"/>
  <c r="Q38" i="5"/>
  <c r="J7" i="2"/>
  <c r="G7" i="2"/>
  <c r="J6" i="2"/>
  <c r="G6" i="2"/>
  <c r="J5" i="2"/>
  <c r="G5" i="2"/>
  <c r="J4" i="2"/>
  <c r="G4" i="2"/>
  <c r="J3" i="2"/>
  <c r="G3" i="2"/>
  <c r="Q5" i="6"/>
  <c r="AA9" i="6"/>
  <c r="AG4" i="6"/>
  <c r="AG5" i="6" s="1"/>
  <c r="AG6" i="6" s="1"/>
  <c r="AA6" i="6" s="1"/>
  <c r="AA8" i="6" s="1"/>
  <c r="AG12" i="6"/>
  <c r="AG13" i="6" s="1"/>
  <c r="AG14" i="6" s="1"/>
  <c r="AA10" i="6" s="1"/>
  <c r="O3" i="3" s="1"/>
  <c r="C9" i="1"/>
  <c r="H6" i="3"/>
  <c r="H9" i="3"/>
  <c r="H10" i="3"/>
  <c r="R15" i="2"/>
  <c r="R16" i="2"/>
  <c r="R17" i="2"/>
  <c r="R18" i="2"/>
  <c r="R14" i="2"/>
  <c r="Q15" i="2"/>
  <c r="Q16" i="2"/>
  <c r="Q17" i="2"/>
  <c r="Q18" i="2"/>
  <c r="Q14" i="2"/>
  <c r="O14" i="2"/>
  <c r="O15" i="2"/>
  <c r="O16" i="2"/>
  <c r="O17" i="2"/>
  <c r="O18" i="2"/>
  <c r="F12" i="1"/>
  <c r="C10" i="1"/>
  <c r="B10" i="1"/>
  <c r="C7" i="1"/>
  <c r="V40" i="5" l="1"/>
  <c r="V41" i="5"/>
  <c r="V39" i="5"/>
  <c r="V38" i="5"/>
  <c r="I9" i="3"/>
  <c r="K9" i="3" s="1"/>
  <c r="M9" i="3" s="1"/>
  <c r="Q3" i="6"/>
  <c r="Q7" i="6" s="1"/>
  <c r="H26" i="1"/>
  <c r="B29" i="1"/>
  <c r="C29" i="1" s="1"/>
  <c r="D29" i="1" s="1"/>
  <c r="G26" i="1"/>
  <c r="H23" i="1"/>
  <c r="G22" i="1"/>
  <c r="G24" i="1" s="1"/>
  <c r="H21" i="1"/>
  <c r="H24" i="1" s="1"/>
  <c r="C26" i="1"/>
  <c r="B27" i="1" s="1"/>
  <c r="I27" i="1" s="1"/>
  <c r="B26" i="1"/>
  <c r="L11" i="7"/>
  <c r="L10" i="7"/>
  <c r="L9" i="7"/>
  <c r="K10" i="7"/>
  <c r="K11" i="7"/>
  <c r="K9" i="7"/>
  <c r="J10" i="7"/>
  <c r="J11" i="7"/>
  <c r="J9" i="7"/>
  <c r="G27" i="1"/>
  <c r="H4" i="3"/>
  <c r="H3" i="3"/>
  <c r="B37" i="1"/>
  <c r="B38" i="1" s="1"/>
  <c r="B34" i="1"/>
  <c r="B35" i="1" s="1"/>
  <c r="C11" i="1"/>
  <c r="B9" i="1"/>
  <c r="F11" i="4"/>
  <c r="G11" i="4" s="1"/>
  <c r="F10" i="4"/>
  <c r="G10" i="4" s="1"/>
  <c r="F9" i="4"/>
  <c r="G9" i="4" s="1"/>
  <c r="H7" i="3"/>
  <c r="H8" i="3"/>
  <c r="H5" i="3"/>
  <c r="J5" i="3" s="1"/>
  <c r="L5" i="3" s="1"/>
  <c r="C16" i="3" s="1"/>
  <c r="F11" i="1"/>
  <c r="F3" i="4"/>
  <c r="G3" i="4" s="1"/>
  <c r="F4" i="4"/>
  <c r="G4" i="4" s="1"/>
  <c r="F5" i="4"/>
  <c r="G5" i="4" s="1"/>
  <c r="F6" i="4"/>
  <c r="G6" i="4" s="1"/>
  <c r="H13" i="5"/>
  <c r="I13" i="5" s="1"/>
  <c r="J13" i="5" s="1"/>
  <c r="AA4" i="6"/>
  <c r="Q9" i="6"/>
  <c r="F14" i="4"/>
  <c r="G14" i="4" s="1"/>
  <c r="F13" i="4"/>
  <c r="G13" i="4" s="1"/>
  <c r="F12" i="4"/>
  <c r="G12" i="4" s="1"/>
  <c r="F8" i="4"/>
  <c r="G8" i="4" s="1"/>
  <c r="F7" i="4"/>
  <c r="G7" i="4" s="1"/>
  <c r="E11" i="3"/>
  <c r="F11" i="3" s="1"/>
  <c r="D37" i="1"/>
  <c r="D38" i="1"/>
  <c r="D34" i="1"/>
  <c r="D35" i="1"/>
  <c r="Y32" i="1"/>
  <c r="Y31" i="1"/>
  <c r="Y30" i="1"/>
  <c r="R4" i="5" l="1"/>
  <c r="Q4" i="5"/>
  <c r="I7" i="3"/>
  <c r="K7" i="3" s="1"/>
  <c r="B17" i="3" s="1"/>
  <c r="L3" i="4"/>
  <c r="T6" i="5"/>
  <c r="R6" i="5"/>
  <c r="Q6" i="5"/>
  <c r="Q55" i="5" s="1"/>
  <c r="R5" i="5"/>
  <c r="Q5" i="5"/>
  <c r="Q54" i="5" s="1"/>
  <c r="T5" i="5"/>
  <c r="J9" i="3"/>
  <c r="L9" i="3" s="1"/>
  <c r="C18" i="3" s="1"/>
  <c r="I3" i="3"/>
  <c r="B15" i="3" s="1"/>
  <c r="B24" i="1"/>
  <c r="B11" i="1"/>
  <c r="B12" i="1" s="1"/>
  <c r="C24" i="1"/>
  <c r="M6" i="4"/>
  <c r="H12" i="4"/>
  <c r="O6" i="4" s="1"/>
  <c r="H6" i="4"/>
  <c r="O4" i="4" s="1"/>
  <c r="H9" i="4"/>
  <c r="O5" i="4" s="1"/>
  <c r="L5" i="4"/>
  <c r="P5" i="4" s="1"/>
  <c r="M5" i="4"/>
  <c r="L4" i="4"/>
  <c r="P4" i="4" s="1"/>
  <c r="M4" i="4"/>
  <c r="M3" i="4"/>
  <c r="L6" i="4"/>
  <c r="P6" i="4" s="1"/>
  <c r="J7" i="3"/>
  <c r="L7" i="3" s="1"/>
  <c r="C17" i="3" s="1"/>
  <c r="I5" i="3"/>
  <c r="K5" i="3" s="1"/>
  <c r="M5" i="3" s="1"/>
  <c r="D16" i="3" s="1"/>
  <c r="D18" i="3"/>
  <c r="B18" i="3"/>
  <c r="J3" i="3"/>
  <c r="L3" i="3" s="1"/>
  <c r="C15" i="3" s="1"/>
  <c r="R54" i="5" l="1"/>
  <c r="U6" i="5"/>
  <c r="U5" i="5"/>
  <c r="U19" i="5"/>
  <c r="Q53" i="5"/>
  <c r="U38" i="5"/>
  <c r="U22" i="5"/>
  <c r="U39" i="5"/>
  <c r="U40" i="5"/>
  <c r="U41" i="5"/>
  <c r="U20" i="5"/>
  <c r="U21" i="5"/>
  <c r="M7" i="3"/>
  <c r="D17" i="3" s="1"/>
  <c r="U4" i="5"/>
  <c r="M3" i="3"/>
  <c r="D15" i="3" s="1"/>
  <c r="B16" i="3"/>
</calcChain>
</file>

<file path=xl/sharedStrings.xml><?xml version="1.0" encoding="utf-8"?>
<sst xmlns="http://schemas.openxmlformats.org/spreadsheetml/2006/main" count="422" uniqueCount="161">
  <si>
    <t xml:space="preserve"> </t>
  </si>
  <si>
    <t>Macrophage Calculations</t>
  </si>
  <si>
    <t>A</t>
  </si>
  <si>
    <t>LVS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</si>
  <si>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</si>
  <si>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</si>
  <si>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</si>
  <si>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</si>
  <si>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</si>
  <si>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</si>
  <si>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</si>
  <si>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</si>
  <si>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</si>
  <si>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</si>
  <si>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</si>
  <si>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</si>
  <si>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</si>
  <si>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</si>
  <si>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</si>
  <si>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</si>
  <si>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Use</t>
  </si>
  <si>
    <t>Round</t>
  </si>
  <si>
    <t>Square</t>
  </si>
  <si>
    <t>Notes</t>
  </si>
  <si>
    <t>Patch strains for infections</t>
  </si>
  <si>
    <t>Plate inoculumns</t>
  </si>
  <si>
    <t>Bacterial Calculations</t>
  </si>
  <si>
    <t>Actual</t>
  </si>
  <si>
    <t>Timepoint 2 hours</t>
  </si>
  <si>
    <t>MOI</t>
  </si>
  <si>
    <t>Timepoint 24 hours</t>
  </si>
  <si>
    <t>Macrophage cells per well</t>
  </si>
  <si>
    <t>Total plates</t>
  </si>
  <si>
    <t>Volume bacteria to add (mL)</t>
  </si>
  <si>
    <t>Flasks of 600 mL CHA</t>
  </si>
  <si>
    <t>Round plates: 24 mL, 25 per flask; Square plates: 30 mL, 20 per flask</t>
  </si>
  <si>
    <t>Bacterial density needed (cells/mL)</t>
  </si>
  <si>
    <t>Total number of CHA flasks</t>
  </si>
  <si>
    <t>Cells/mL per OD600</t>
  </si>
  <si>
    <t>OD needed for given density</t>
  </si>
  <si>
    <t>Resuspend to</t>
  </si>
  <si>
    <t>Final MOI 5, dilute 1:100</t>
  </si>
  <si>
    <t>For final vol 1.3 mL at 0.028</t>
  </si>
  <si>
    <t>Number</t>
  </si>
  <si>
    <t>Strain</t>
  </si>
  <si>
    <t>Resuspend cells to (OD600)</t>
  </si>
  <si>
    <t>Cells (uL)</t>
  </si>
  <si>
    <t>Media (x2, uL)</t>
  </si>
  <si>
    <t>OD600</t>
  </si>
  <si>
    <t>Volume to dilute in 1 mL (usually 1:100)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</si>
  <si>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>chaC</t>
    </r>
  </si>
  <si>
    <t>undiluted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</si>
  <si>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 xml:space="preserve">chaC </t>
    </r>
    <r>
      <rPr>
        <sz val="12"/>
        <color theme="1"/>
        <rFont val="Calibri"/>
        <family val="2"/>
        <scheme val="minor"/>
      </rPr>
      <t>Tn7:</t>
    </r>
    <r>
      <rPr>
        <i/>
        <sz val="12"/>
        <color theme="1"/>
        <rFont val="Calibri"/>
        <family val="2"/>
        <scheme val="minor"/>
      </rPr>
      <t>chaC</t>
    </r>
  </si>
  <si>
    <t>Inoculum</t>
  </si>
  <si>
    <t>Replicate</t>
  </si>
  <si>
    <t>Dilution factor counted</t>
  </si>
  <si>
    <t>Cells / mL</t>
  </si>
  <si>
    <t>Average Cells / mL</t>
  </si>
  <si>
    <t>St dev</t>
  </si>
  <si>
    <t>CFU/well</t>
  </si>
  <si>
    <t>MOI (based on number of seeded macrophage- see setup)</t>
  </si>
  <si>
    <t>1A</t>
  </si>
  <si>
    <t>TMTC</t>
  </si>
  <si>
    <t>1B</t>
  </si>
  <si>
    <t>2A</t>
  </si>
  <si>
    <t>2B</t>
  </si>
  <si>
    <t>3A</t>
  </si>
  <si>
    <t>3B</t>
  </si>
  <si>
    <t>Dilution Factor</t>
  </si>
  <si>
    <t>Plate</t>
  </si>
  <si>
    <t>Plate 1</t>
  </si>
  <si>
    <t>Plate 2</t>
  </si>
  <si>
    <t>Average Cells</t>
  </si>
  <si>
    <t>CFU per well</t>
  </si>
  <si>
    <t>T-test</t>
  </si>
  <si>
    <t>Average CFU per well</t>
  </si>
  <si>
    <t>St Dev</t>
  </si>
  <si>
    <t>Original MOI</t>
  </si>
  <si>
    <t>Fold Change</t>
  </si>
  <si>
    <t>1C</t>
  </si>
  <si>
    <t>2C</t>
  </si>
  <si>
    <t>3C</t>
  </si>
  <si>
    <t>50 ul cells plated</t>
  </si>
  <si>
    <t>Track Plate 1</t>
  </si>
  <si>
    <t>Track Plate 2</t>
  </si>
  <si>
    <t>*Plated 50 ul on circular plate</t>
  </si>
  <si>
    <t>2nd measurement</t>
  </si>
  <si>
    <t>1st measurement</t>
  </si>
  <si>
    <t>Average</t>
  </si>
  <si>
    <t>Undiluted</t>
  </si>
  <si>
    <t>Density</t>
  </si>
  <si>
    <t>#</t>
  </si>
  <si>
    <t>∆pigR</t>
  </si>
  <si>
    <t>2x each, each 1/2 plate</t>
  </si>
  <si>
    <t>JCLVS106</t>
  </si>
  <si>
    <t>LVS ∆rpsU2 pF</t>
  </si>
  <si>
    <t>LVS ∆rpsU2 pF-rpsU2-V</t>
  </si>
  <si>
    <t>5A</t>
  </si>
  <si>
    <t>5B</t>
  </si>
  <si>
    <r>
      <t>LVS ∆</t>
    </r>
    <r>
      <rPr>
        <i/>
        <sz val="12"/>
        <color theme="1"/>
        <rFont val="Calibri"/>
        <family val="2"/>
        <scheme val="minor"/>
      </rPr>
      <t>pigR</t>
    </r>
  </si>
  <si>
    <r>
      <t>LVS ∆</t>
    </r>
    <r>
      <rPr>
        <b/>
        <i/>
        <sz val="12"/>
        <color theme="1"/>
        <rFont val="Calibri"/>
        <family val="2"/>
        <scheme val="minor"/>
      </rPr>
      <t>pigR</t>
    </r>
  </si>
  <si>
    <r>
      <t>LVS ∆</t>
    </r>
    <r>
      <rPr>
        <b/>
        <i/>
        <sz val="12"/>
        <color theme="1"/>
        <rFont val="Calibri"/>
        <family val="2"/>
        <scheme val="minor"/>
      </rPr>
      <t>pigR</t>
    </r>
    <r>
      <rPr>
        <b/>
        <sz val="12"/>
        <color theme="1"/>
        <rFont val="Calibri"/>
        <family val="2"/>
        <scheme val="minor"/>
      </rPr>
      <t>*</t>
    </r>
  </si>
  <si>
    <t>Fold Replication</t>
  </si>
  <si>
    <t>LVS pF</t>
  </si>
  <si>
    <t>Number of plates- CHA</t>
  </si>
  <si>
    <t>Number of plates - KAN</t>
  </si>
  <si>
    <t>Volume media (uL)</t>
  </si>
  <si>
    <t>5C</t>
  </si>
  <si>
    <t>stdev</t>
  </si>
  <si>
    <t>t-test</t>
  </si>
  <si>
    <t>Generation time in vivo</t>
  </si>
  <si>
    <t>Generation time in vitro</t>
  </si>
  <si>
    <t>LVS ΔrpsU2 pF</t>
  </si>
  <si>
    <t>LVS ΔrpsU2 pF-rpsU1-V</t>
  </si>
  <si>
    <t>LVS ΔrpsU2 pF-rpsU2-V</t>
  </si>
  <si>
    <t>LVS ΔrpsU2 pF-rpsU3-V</t>
  </si>
  <si>
    <t>Plus expt 1</t>
  </si>
  <si>
    <t>8 strains in duplicate</t>
  </si>
  <si>
    <t>No T=2 for this expt</t>
  </si>
  <si>
    <t>Square: 7 strains x 2 wells x 2 plates; round: ∆pigR x 2 wells x 2 plates</t>
  </si>
  <si>
    <t>Total plates plus extra</t>
  </si>
  <si>
    <t>T-test (vs LVS)</t>
  </si>
  <si>
    <t>Fold change from WT</t>
  </si>
  <si>
    <t>KMLFT37.1 (KR lab fine)</t>
  </si>
  <si>
    <t xml:space="preserve">KRLVS40.1 </t>
  </si>
  <si>
    <t>-</t>
  </si>
  <si>
    <t>KMLFT37</t>
  </si>
  <si>
    <t>KRLVS40</t>
  </si>
  <si>
    <t>KMLFT49</t>
  </si>
  <si>
    <t>5 strains in duplicate</t>
  </si>
  <si>
    <t>Round: 5 strains x triplicate wells x duplicate</t>
  </si>
  <si>
    <t>For final vol 4 mL at 0.0004</t>
  </si>
  <si>
    <t>For final vol 1 mL at 0.04</t>
  </si>
  <si>
    <r>
      <t>LVS ∆</t>
    </r>
    <r>
      <rPr>
        <b/>
        <i/>
        <sz val="12"/>
        <color theme="1"/>
        <rFont val="Calibri"/>
        <family val="2"/>
        <scheme val="minor"/>
      </rPr>
      <t>pmrA</t>
    </r>
    <r>
      <rPr>
        <b/>
        <sz val="12"/>
        <color theme="1"/>
        <rFont val="Calibri"/>
        <family val="2"/>
        <scheme val="minor"/>
      </rPr>
      <t xml:space="preserve"> KMLFTS37</t>
    </r>
  </si>
  <si>
    <r>
      <t>LVS ∆</t>
    </r>
    <r>
      <rPr>
        <b/>
        <i/>
        <sz val="12"/>
        <color theme="1"/>
        <rFont val="Calibri"/>
        <family val="2"/>
        <scheme val="minor"/>
      </rPr>
      <t>pmrA</t>
    </r>
    <r>
      <rPr>
        <b/>
        <sz val="12"/>
        <color theme="1"/>
        <rFont val="Calibri"/>
        <family val="2"/>
        <scheme val="minor"/>
      </rPr>
      <t xml:space="preserve"> KRLVS40</t>
    </r>
  </si>
  <si>
    <t>LVS ∆pmrA KRLVS40</t>
  </si>
  <si>
    <t>LVS ∆pmrA KMLFTS37</t>
  </si>
  <si>
    <r>
      <t>LVS ∆</t>
    </r>
    <r>
      <rPr>
        <i/>
        <sz val="12"/>
        <color theme="1"/>
        <rFont val="Calibri"/>
        <family val="2"/>
        <scheme val="minor"/>
      </rPr>
      <t>pmrA</t>
    </r>
    <r>
      <rPr>
        <sz val="12"/>
        <color theme="1"/>
        <rFont val="Calibri"/>
        <family val="2"/>
        <scheme val="minor"/>
      </rPr>
      <t xml:space="preserve"> KMLFT37</t>
    </r>
  </si>
  <si>
    <r>
      <t>LVS ∆</t>
    </r>
    <r>
      <rPr>
        <i/>
        <sz val="12"/>
        <color theme="1"/>
        <rFont val="Calibri"/>
        <family val="2"/>
        <scheme val="minor"/>
      </rPr>
      <t xml:space="preserve">pmrA </t>
    </r>
    <r>
      <rPr>
        <sz val="12"/>
        <color theme="1"/>
        <rFont val="Calibri"/>
        <family val="2"/>
        <scheme val="minor"/>
      </rPr>
      <t>KRLVS40</t>
    </r>
  </si>
  <si>
    <t>KMLFT69</t>
  </si>
  <si>
    <t>∆pmrA mre(S)</t>
  </si>
  <si>
    <t>Square: 4 strains x 3 wells x 2 plates x 3 timepoints; round: ∆pigR x 3 wells x 2 plates</t>
  </si>
  <si>
    <t>For final vol 1 mL at 0.075</t>
  </si>
  <si>
    <t>For final vol 1 mL at 0.00075</t>
  </si>
  <si>
    <t>5 min</t>
  </si>
  <si>
    <t>30 min (2nd plating)</t>
  </si>
  <si>
    <t>30 min (1st plating)</t>
  </si>
  <si>
    <t>Plating after 5'</t>
  </si>
  <si>
    <t>Plating after 30' (2nd plating)</t>
  </si>
  <si>
    <t>T-test (vs LVS 5')</t>
  </si>
  <si>
    <t>Fold change from WT 5'</t>
  </si>
  <si>
    <t>LVS ∆pmrA KMLFT37</t>
  </si>
  <si>
    <t>Fold Change (30' vs 5')</t>
  </si>
  <si>
    <t>T-test (30' vs 5')</t>
  </si>
  <si>
    <t>Fold change from WT 30'</t>
  </si>
  <si>
    <r>
      <t>LVS ∆</t>
    </r>
    <r>
      <rPr>
        <i/>
        <sz val="12"/>
        <color theme="1"/>
        <rFont val="Calibri"/>
        <family val="2"/>
        <scheme val="minor"/>
      </rPr>
      <t>pmrA</t>
    </r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>priM</t>
    </r>
  </si>
  <si>
    <t>Date</t>
  </si>
  <si>
    <t>Lysis time</t>
  </si>
  <si>
    <t>30'</t>
  </si>
  <si>
    <t>5'</t>
  </si>
  <si>
    <t>Plating after 30'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</si>
</sst>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11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164" fontId="0" fillId="0" borderId="0" xfId="0" applyNumberFormat="1"/>
    <xf numFmtId="0" fontId="0" fillId="0" borderId="0" xfId="0" applyAlignment="1">
      <alignment horizontal="center" vertical="center" wrapText="1"/>
    </xf>
    <xf numFmtId="2" fontId="0" fillId="0" borderId="0" xfId="0" applyNumberFormat="1"/>
    <xf numFmtId="166" fontId="0" fillId="0" borderId="0" xfId="0" applyNumberForma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9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11" xfId="0" applyFont="1" applyBorder="1"/>
    <xf numFmtId="0" fontId="0" fillId="0" borderId="6" xfId="0" applyBorder="1" applyAlignment="1">
      <alignment horizontal="center" vertical="center"/>
    </xf>
    <xf numFmtId="0" fontId="0" fillId="0" borderId="4" xfId="0" applyBorder="1"/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164" fontId="7" fillId="0" borderId="1" xfId="0" applyNumberFormat="1" applyFont="1" applyBorder="1"/>
    <xf numFmtId="1" fontId="7" fillId="0" borderId="1" xfId="0" applyNumberFormat="1" applyFont="1" applyBorder="1"/>
    <xf numFmtId="2" fontId="7" fillId="0" borderId="1" xfId="0" applyNumberFormat="1" applyFont="1" applyBorder="1"/>
    <xf numFmtId="0" fontId="2" fillId="0" borderId="0" xfId="0" applyFont="1"/>
    <xf numFmtId="166" fontId="7" fillId="0" borderId="1" xfId="0" applyNumberFormat="1" applyFont="1" applyBorder="1"/>
    <xf numFmtId="166" fontId="0" fillId="0" borderId="6" xfId="0" applyNumberFormat="1" applyBorder="1" applyAlignment="1">
      <alignment horizontal="right"/>
    </xf>
    <xf numFmtId="2" fontId="0" fillId="0" borderId="1" xfId="0" applyNumberFormat="1" applyBorder="1"/>
    <xf numFmtId="164" fontId="9" fillId="0" borderId="0" xfId="0" applyNumberFormat="1" applyFont="1"/>
    <xf numFmtId="164" fontId="10" fillId="0" borderId="0" xfId="0" applyNumberFormat="1" applyFont="1"/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center"/>
    </xf>
    <xf numFmtId="0" fontId="4" fillId="0" borderId="12" xfId="0" applyFont="1" applyBorder="1"/>
    <xf numFmtId="164" fontId="0" fillId="0" borderId="1" xfId="0" applyNumberFormat="1" applyBorder="1" applyAlignment="1">
      <alignment horizontal="center"/>
    </xf>
    <xf numFmtId="0" fontId="1" fillId="0" borderId="13" xfId="0" applyFont="1" applyBorder="1" applyAlignment="1">
      <alignment wrapText="1"/>
    </xf>
    <xf numFmtId="0" fontId="0" fillId="0" borderId="7" xfId="0" applyBorder="1"/>
    <xf numFmtId="0" fontId="13" fillId="0" borderId="1" xfId="0" applyFont="1" applyBorder="1" applyAlignment="1">
      <alignment horizontal="center" wrapText="1"/>
    </xf>
    <xf numFmtId="14" fontId="0" fillId="0" borderId="0" xfId="0" applyNumberFormat="1"/>
    <xf numFmtId="1" fontId="9" fillId="0" borderId="1" xfId="0" applyNumberFormat="1" applyFont="1" applyBorder="1"/>
    <xf numFmtId="1" fontId="0" fillId="0" borderId="0" xfId="0" applyNumberFormat="1"/>
    <xf numFmtId="0" fontId="1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Inoculum!$B$14</c:f>
              <c:strCache>
                <c:ptCount val="1"/>
                <c:pt idx="0">
                  <c:v>CFU/well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Inoculum!$C$15:$C$19</c:f>
                <c:numCache>
                  <c:formatCode>General</c:formatCode>
                  <c:ptCount val="5"/>
                  <c:pt idx="0">
                    <c:v>14142.135623730952</c:v>
                  </c:pt>
                  <c:pt idx="1">
                    <c:v>61164.736572636284</c:v>
                  </c:pt>
                  <c:pt idx="2">
                    <c:v>14142.135623730952</c:v>
                  </c:pt>
                  <c:pt idx="3">
                    <c:v>24748.737341529191</c:v>
                  </c:pt>
                </c:numCache>
              </c:numRef>
            </c:plus>
            <c:minus>
              <c:numRef>
                <c:f>Inoculum!$C$15:$C$19</c:f>
                <c:numCache>
                  <c:formatCode>General</c:formatCode>
                  <c:ptCount val="5"/>
                  <c:pt idx="0">
                    <c:v>14142.135623730952</c:v>
                  </c:pt>
                  <c:pt idx="1">
                    <c:v>61164.736572636284</c:v>
                  </c:pt>
                  <c:pt idx="2">
                    <c:v>14142.135623730952</c:v>
                  </c:pt>
                  <c:pt idx="3">
                    <c:v>24748.737341529191</c:v>
                  </c:pt>
                </c:numCache>
              </c:numRef>
            </c:minus>
          </c:errBars>
          <c:cat>
            <c:strRef>
              <c:f>Inoculum!$A$15:$A$18</c:f>
              <c:strCache>
                <c:ptCount val="4"/>
                <c:pt idx="0">
                  <c:v>LVS</c:v>
                </c:pt>
                <c:pt idx="1">
                  <c:v>LVS ∆pmrA KMLFT37</c:v>
                </c:pt>
                <c:pt idx="2">
                  <c:v>LVS ∆pmrA KRLVS40</c:v>
                </c:pt>
                <c:pt idx="3">
                  <c:v>LVS ∆pigR</c:v>
                </c:pt>
              </c:strCache>
            </c:strRef>
          </c:cat>
          <c:val>
            <c:numRef>
              <c:f>Inoculum!$B$15:$B$18</c:f>
              <c:numCache>
                <c:formatCode>0.00E+00</c:formatCode>
                <c:ptCount val="4"/>
                <c:pt idx="0">
                  <c:v>195000</c:v>
                </c:pt>
                <c:pt idx="1">
                  <c:v>131750</c:v>
                </c:pt>
                <c:pt idx="2">
                  <c:v>250000</c:v>
                </c:pt>
                <c:pt idx="3">
                  <c:v>67499.999999999985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6-47D7-A0E9-F3AA82FF6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E+00" sourceLinked="0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71740008781596"/>
          <c:y val="0.15875225818894853"/>
          <c:w val="0.81062978990097878"/>
          <c:h val="0.6801504387797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'T=24'!$P$2:$U$2</c:f>
              <c:strCache>
                <c:ptCount val="1"/>
                <c:pt idx="0">
                  <c:v>Plating after 5'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'T=24'!$R$4:$R$7</c:f>
                <c:numCache>
                  <c:formatCode>General</c:formatCode>
                  <c:ptCount val="4"/>
                  <c:pt idx="0">
                    <c:v>27592.269448766514</c:v>
                  </c:pt>
                  <c:pt idx="1">
                    <c:v>230.9401076758503</c:v>
                  </c:pt>
                  <c:pt idx="2">
                    <c:v>56.862407030773255</c:v>
                  </c:pt>
                </c:numCache>
              </c:numRef>
            </c:plus>
            <c:minus>
              <c:numRef>
                <c:f>'T=24'!$R$4:$R$7</c:f>
                <c:numCache>
                  <c:formatCode>General</c:formatCode>
                  <c:ptCount val="4"/>
                  <c:pt idx="0">
                    <c:v>27592.269448766514</c:v>
                  </c:pt>
                  <c:pt idx="1">
                    <c:v>230.9401076758503</c:v>
                  </c:pt>
                  <c:pt idx="2">
                    <c:v>56.862407030773255</c:v>
                  </c:pt>
                </c:numCache>
              </c:numRef>
            </c:minus>
          </c:errBars>
          <c:cat>
            <c:strRef>
              <c:f>'T=24'!$P$19:$P$22</c:f>
              <c:strCache>
                <c:ptCount val="4"/>
                <c:pt idx="0">
                  <c:v>LVS</c:v>
                </c:pt>
                <c:pt idx="1">
                  <c:v>LVS ∆pmrA KMLFT37</c:v>
                </c:pt>
                <c:pt idx="2">
                  <c:v>LVS ∆pmrA KRLVS40</c:v>
                </c:pt>
                <c:pt idx="3">
                  <c:v>LVS ∆pigR</c:v>
                </c:pt>
              </c:strCache>
            </c:strRef>
          </c:cat>
          <c:val>
            <c:numRef>
              <c:f>'T=24'!$Q$4:$Q$7</c:f>
              <c:numCache>
                <c:formatCode>0.00E+00</c:formatCode>
                <c:ptCount val="4"/>
                <c:pt idx="0">
                  <c:v>101666.66666666667</c:v>
                </c:pt>
                <c:pt idx="1">
                  <c:v>2333.3333333333335</c:v>
                </c:pt>
                <c:pt idx="2">
                  <c:v>106.66666666666667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C-814B-A364-060C7A020D44}"/>
            </c:ext>
          </c:extLst>
        </c:ser>
        <c:ser>
          <c:idx val="1"/>
          <c:order val="1"/>
          <c:tx>
            <c:strRef>
              <c:f>'T=24'!$P$17:$U$17</c:f>
              <c:strCache>
                <c:ptCount val="1"/>
                <c:pt idx="0">
                  <c:v>Plating after 30' (2nd plating)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'T=24'!$R$19:$R$22</c:f>
                <c:numCache>
                  <c:formatCode>General</c:formatCode>
                  <c:ptCount val="4"/>
                  <c:pt idx="0">
                    <c:v>64454.118047905489</c:v>
                  </c:pt>
                  <c:pt idx="1">
                    <c:v>754.983443527075</c:v>
                  </c:pt>
                  <c:pt idx="2">
                    <c:v>69.282032302755098</c:v>
                  </c:pt>
                  <c:pt idx="3">
                    <c:v>10</c:v>
                  </c:pt>
                </c:numCache>
              </c:numRef>
            </c:plus>
            <c:minus>
              <c:numRef>
                <c:f>'T=24'!$R$19:$R$22</c:f>
                <c:numCache>
                  <c:formatCode>General</c:formatCode>
                  <c:ptCount val="4"/>
                  <c:pt idx="0">
                    <c:v>64454.118047905489</c:v>
                  </c:pt>
                  <c:pt idx="1">
                    <c:v>754.983443527075</c:v>
                  </c:pt>
                  <c:pt idx="2">
                    <c:v>69.282032302755098</c:v>
                  </c:pt>
                  <c:pt idx="3">
                    <c:v>10</c:v>
                  </c:pt>
                </c:numCache>
              </c:numRef>
            </c:minus>
          </c:errBars>
          <c:cat>
            <c:strRef>
              <c:f>'T=24'!$P$19:$P$22</c:f>
              <c:strCache>
                <c:ptCount val="4"/>
                <c:pt idx="0">
                  <c:v>LVS</c:v>
                </c:pt>
                <c:pt idx="1">
                  <c:v>LVS ∆pmrA KMLFT37</c:v>
                </c:pt>
                <c:pt idx="2">
                  <c:v>LVS ∆pmrA KRLVS40</c:v>
                </c:pt>
                <c:pt idx="3">
                  <c:v>LVS ∆pigR</c:v>
                </c:pt>
              </c:strCache>
            </c:strRef>
          </c:cat>
          <c:val>
            <c:numRef>
              <c:f>'T=24'!$Q$19:$Q$22</c:f>
              <c:numCache>
                <c:formatCode>0.00E+00</c:formatCode>
                <c:ptCount val="4"/>
                <c:pt idx="0">
                  <c:v>186666.66666666666</c:v>
                </c:pt>
                <c:pt idx="1">
                  <c:v>3100</c:v>
                </c:pt>
                <c:pt idx="2">
                  <c:v>140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E-F74D-A48A-234FE5C27271}"/>
            </c:ext>
          </c:extLst>
        </c:ser>
        <c:ser>
          <c:idx val="2"/>
          <c:order val="2"/>
          <c:tx>
            <c:strRef>
              <c:f>'T=24'!$P$36:$U$36</c:f>
              <c:strCache>
                <c:ptCount val="1"/>
                <c:pt idx="0">
                  <c:v>Plating after 30'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'T=24'!$R$38:$R$41</c:f>
                <c:numCache>
                  <c:formatCode>General</c:formatCode>
                  <c:ptCount val="4"/>
                  <c:pt idx="0">
                    <c:v>83548.389172582669</c:v>
                  </c:pt>
                  <c:pt idx="1">
                    <c:v>3080.5843601498727</c:v>
                  </c:pt>
                  <c:pt idx="2">
                    <c:v>288.44410203711914</c:v>
                  </c:pt>
                  <c:pt idx="3">
                    <c:v>5.7735026918962511</c:v>
                  </c:pt>
                </c:numCache>
              </c:numRef>
            </c:plus>
            <c:minus>
              <c:numRef>
                <c:f>'T=24'!$R$38:$R$41</c:f>
                <c:numCache>
                  <c:formatCode>General</c:formatCode>
                  <c:ptCount val="4"/>
                  <c:pt idx="0">
                    <c:v>83548.389172582669</c:v>
                  </c:pt>
                  <c:pt idx="1">
                    <c:v>3080.5843601498727</c:v>
                  </c:pt>
                  <c:pt idx="2">
                    <c:v>288.44410203711914</c:v>
                  </c:pt>
                  <c:pt idx="3">
                    <c:v>5.7735026918962511</c:v>
                  </c:pt>
                </c:numCache>
              </c:numRef>
            </c:minus>
          </c:errBars>
          <c:cat>
            <c:strRef>
              <c:f>'T=24'!$P$19:$P$22</c:f>
              <c:strCache>
                <c:ptCount val="4"/>
                <c:pt idx="0">
                  <c:v>LVS</c:v>
                </c:pt>
                <c:pt idx="1">
                  <c:v>LVS ∆pmrA KMLFT37</c:v>
                </c:pt>
                <c:pt idx="2">
                  <c:v>LVS ∆pmrA KRLVS40</c:v>
                </c:pt>
                <c:pt idx="3">
                  <c:v>LVS ∆pigR</c:v>
                </c:pt>
              </c:strCache>
            </c:strRef>
          </c:cat>
          <c:val>
            <c:numRef>
              <c:f>'T=24'!$Q$38:$Q$41</c:f>
              <c:numCache>
                <c:formatCode>0.00E+00</c:formatCode>
                <c:ptCount val="4"/>
                <c:pt idx="0">
                  <c:v>223666.66666666666</c:v>
                </c:pt>
                <c:pt idx="1">
                  <c:v>12700</c:v>
                </c:pt>
                <c:pt idx="2">
                  <c:v>400</c:v>
                </c:pt>
                <c:pt idx="3">
                  <c:v>33.333333333333336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CE-F74D-A48A-234FE5C27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71740008781596"/>
          <c:y val="6.2861838503907974E-2"/>
          <c:w val="0.81062978990097878"/>
          <c:h val="0.77604098372001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'T=24'!$P$2:$U$2</c:f>
              <c:strCache>
                <c:ptCount val="1"/>
                <c:pt idx="0">
                  <c:v>Plating after 5'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'T=24'!$R$4:$R$7</c:f>
                <c:numCache>
                  <c:formatCode>General</c:formatCode>
                  <c:ptCount val="4"/>
                  <c:pt idx="0">
                    <c:v>27592.269448766514</c:v>
                  </c:pt>
                  <c:pt idx="1">
                    <c:v>230.9401076758503</c:v>
                  </c:pt>
                  <c:pt idx="2">
                    <c:v>56.862407030773255</c:v>
                  </c:pt>
                </c:numCache>
              </c:numRef>
            </c:plus>
            <c:minus>
              <c:numRef>
                <c:f>'T=24'!$R$4:$R$7</c:f>
                <c:numCache>
                  <c:formatCode>General</c:formatCode>
                  <c:ptCount val="4"/>
                  <c:pt idx="0">
                    <c:v>27592.269448766514</c:v>
                  </c:pt>
                  <c:pt idx="1">
                    <c:v>230.9401076758503</c:v>
                  </c:pt>
                  <c:pt idx="2">
                    <c:v>56.862407030773255</c:v>
                  </c:pt>
                </c:numCache>
              </c:numRef>
            </c:minus>
            <c:spPr>
              <a:ln w="19050">
                <a:solidFill>
                  <a:schemeClr val="tx1"/>
                </a:solidFill>
              </a:ln>
            </c:spPr>
          </c:errBars>
          <c:cat>
            <c:strRef>
              <c:f>'T=24'!$P$19:$P$22</c:f>
              <c:strCache>
                <c:ptCount val="4"/>
                <c:pt idx="0">
                  <c:v>LVS</c:v>
                </c:pt>
                <c:pt idx="1">
                  <c:v>LVS ∆pmrA KMLFT37</c:v>
                </c:pt>
                <c:pt idx="2">
                  <c:v>LVS ∆pmrA KRLVS40</c:v>
                </c:pt>
                <c:pt idx="3">
                  <c:v>LVS ∆pigR</c:v>
                </c:pt>
              </c:strCache>
            </c:strRef>
          </c:cat>
          <c:val>
            <c:numRef>
              <c:f>'T=24'!$Q$4:$Q$7</c:f>
              <c:numCache>
                <c:formatCode>0.00E+00</c:formatCode>
                <c:ptCount val="4"/>
                <c:pt idx="0">
                  <c:v>101666.66666666667</c:v>
                </c:pt>
                <c:pt idx="1">
                  <c:v>2333.3333333333335</c:v>
                </c:pt>
                <c:pt idx="2">
                  <c:v>106.66666666666667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2D-654E-A72A-31F4C0077723}"/>
            </c:ext>
          </c:extLst>
        </c:ser>
        <c:ser>
          <c:idx val="2"/>
          <c:order val="1"/>
          <c:tx>
            <c:strRef>
              <c:f>'T=24'!$P$36:$U$36</c:f>
              <c:strCache>
                <c:ptCount val="1"/>
                <c:pt idx="0">
                  <c:v>Plating after 30'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'T=24'!$R$38:$R$41</c:f>
                <c:numCache>
                  <c:formatCode>General</c:formatCode>
                  <c:ptCount val="4"/>
                  <c:pt idx="0">
                    <c:v>83548.389172582669</c:v>
                  </c:pt>
                  <c:pt idx="1">
                    <c:v>3080.5843601498727</c:v>
                  </c:pt>
                  <c:pt idx="2">
                    <c:v>288.44410203711914</c:v>
                  </c:pt>
                  <c:pt idx="3">
                    <c:v>5.7735026918962511</c:v>
                  </c:pt>
                </c:numCache>
              </c:numRef>
            </c:plus>
            <c:minus>
              <c:numRef>
                <c:f>'T=24'!$R$38:$R$41</c:f>
                <c:numCache>
                  <c:formatCode>General</c:formatCode>
                  <c:ptCount val="4"/>
                  <c:pt idx="0">
                    <c:v>83548.389172582669</c:v>
                  </c:pt>
                  <c:pt idx="1">
                    <c:v>3080.5843601498727</c:v>
                  </c:pt>
                  <c:pt idx="2">
                    <c:v>288.44410203711914</c:v>
                  </c:pt>
                  <c:pt idx="3">
                    <c:v>5.7735026918962511</c:v>
                  </c:pt>
                </c:numCache>
              </c:numRef>
            </c:minus>
            <c:spPr>
              <a:ln w="19050"/>
            </c:spPr>
          </c:errBars>
          <c:cat>
            <c:strRef>
              <c:f>'T=24'!$P$19:$P$22</c:f>
              <c:strCache>
                <c:ptCount val="4"/>
                <c:pt idx="0">
                  <c:v>LVS</c:v>
                </c:pt>
                <c:pt idx="1">
                  <c:v>LVS ∆pmrA KMLFT37</c:v>
                </c:pt>
                <c:pt idx="2">
                  <c:v>LVS ∆pmrA KRLVS40</c:v>
                </c:pt>
                <c:pt idx="3">
                  <c:v>LVS ∆pigR</c:v>
                </c:pt>
              </c:strCache>
            </c:strRef>
          </c:cat>
          <c:val>
            <c:numRef>
              <c:f>'T=24'!$Q$38:$Q$41</c:f>
              <c:numCache>
                <c:formatCode>0.00E+00</c:formatCode>
                <c:ptCount val="4"/>
                <c:pt idx="0">
                  <c:v>223666.66666666666</c:v>
                </c:pt>
                <c:pt idx="1">
                  <c:v>12700</c:v>
                </c:pt>
                <c:pt idx="2">
                  <c:v>400</c:v>
                </c:pt>
                <c:pt idx="3">
                  <c:v>33.333333333333336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2D-654E-A72A-31F4C0077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9444099953710282"/>
          <c:y val="8.6301385377590578E-2"/>
          <c:w val="0.56963073765535366"/>
          <c:h val="8.0978334048526598E-2"/>
        </c:manualLayout>
      </c:layout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'T=24'!$R$53:$R$55</c:f>
                <c:numCache>
                  <c:formatCode>General</c:formatCode>
                  <c:ptCount val="3"/>
                  <c:pt idx="0">
                    <c:v>1.0157940062077386</c:v>
                  </c:pt>
                  <c:pt idx="1">
                    <c:v>1.4259250707424735</c:v>
                  </c:pt>
                  <c:pt idx="2">
                    <c:v>3.3628524879139063</c:v>
                  </c:pt>
                </c:numCache>
              </c:numRef>
            </c:plus>
            <c:minus>
              <c:numRef>
                <c:f>'T=24'!$R$53:$R$55</c:f>
                <c:numCache>
                  <c:formatCode>General</c:formatCode>
                  <c:ptCount val="3"/>
                  <c:pt idx="0">
                    <c:v>1.0157940062077386</c:v>
                  </c:pt>
                  <c:pt idx="1">
                    <c:v>1.4259250707424735</c:v>
                  </c:pt>
                  <c:pt idx="2">
                    <c:v>3.3628524879139063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'T=24'!$P$53:$P$55</c:f>
              <c:strCache>
                <c:ptCount val="3"/>
                <c:pt idx="0">
                  <c:v>LVS</c:v>
                </c:pt>
                <c:pt idx="1">
                  <c:v>LVS ∆pmrA KMLFT37</c:v>
                </c:pt>
                <c:pt idx="2">
                  <c:v>LVS ∆pmrA KRLVS40</c:v>
                </c:pt>
              </c:strCache>
            </c:strRef>
          </c:cat>
          <c:val>
            <c:numRef>
              <c:f>'T=24'!$Q$53:$Q$55</c:f>
              <c:numCache>
                <c:formatCode>0.00</c:formatCode>
                <c:ptCount val="3"/>
                <c:pt idx="0">
                  <c:v>2.1999999999999997</c:v>
                </c:pt>
                <c:pt idx="1">
                  <c:v>5.4428571428571422</c:v>
                </c:pt>
                <c:pt idx="2">
                  <c:v>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78-054B-8EF5-293D73B89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0209391"/>
        <c:axId val="1880409855"/>
      </c:barChart>
      <c:catAx>
        <c:axId val="188020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0409855"/>
        <c:crosses val="autoZero"/>
        <c:auto val="1"/>
        <c:lblAlgn val="ctr"/>
        <c:lblOffset val="100"/>
        <c:noMultiLvlLbl val="0"/>
      </c:catAx>
      <c:valAx>
        <c:axId val="188040985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Fold Change in bacteria</a:t>
                </a:r>
                <a:r>
                  <a:rPr lang="en-US" sz="1400" baseline="0">
                    <a:solidFill>
                      <a:schemeClr val="tx1"/>
                    </a:solidFill>
                  </a:rPr>
                  <a:t> recovery</a:t>
                </a:r>
              </a:p>
              <a:p>
                <a:pPr>
                  <a:defRPr sz="1400">
                    <a:solidFill>
                      <a:schemeClr val="tx1"/>
                    </a:solidFill>
                  </a:defRPr>
                </a:pPr>
                <a:r>
                  <a:rPr lang="en-US" sz="1400" baseline="0">
                    <a:solidFill>
                      <a:schemeClr val="tx1"/>
                    </a:solidFill>
                  </a:rPr>
                  <a:t>(30' vs 5')</a:t>
                </a:r>
                <a:endParaRPr lang="en-US" sz="14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0209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'NOT DONE'!$M$3:$M$6</c:f>
                <c:numCache>
                  <c:formatCode>General</c:formatCode>
                  <c:ptCount val="4"/>
                  <c:pt idx="0">
                    <c:v>27.227437142216179</c:v>
                  </c:pt>
                  <c:pt idx="1">
                    <c:v>9.865765724632503</c:v>
                  </c:pt>
                  <c:pt idx="2">
                    <c:v>13.012814197295446</c:v>
                  </c:pt>
                  <c:pt idx="3">
                    <c:v>19.078784028338912</c:v>
                  </c:pt>
                </c:numCache>
              </c:numRef>
            </c:plus>
            <c:minus>
              <c:numRef>
                <c:f>'NOT DONE'!$M$3:$M$6</c:f>
                <c:numCache>
                  <c:formatCode>General</c:formatCode>
                  <c:ptCount val="4"/>
                  <c:pt idx="0">
                    <c:v>27.227437142216179</c:v>
                  </c:pt>
                  <c:pt idx="1">
                    <c:v>9.865765724632503</c:v>
                  </c:pt>
                  <c:pt idx="2">
                    <c:v>13.012814197295446</c:v>
                  </c:pt>
                  <c:pt idx="3">
                    <c:v>19.078784028338912</c:v>
                  </c:pt>
                </c:numCache>
              </c:numRef>
            </c:minus>
            <c:spPr>
              <a:ln>
                <a:solidFill>
                  <a:schemeClr val="tx1"/>
                </a:solidFill>
              </a:ln>
            </c:spPr>
          </c:errBars>
          <c:cat>
            <c:strRef>
              <c:f>'NOT DONE'!$K$3:$K$6</c:f>
              <c:strCache>
                <c:ptCount val="4"/>
                <c:pt idx="0">
                  <c:v>LVS</c:v>
                </c:pt>
                <c:pt idx="1">
                  <c:v>LVS ∆pmrA KMLFT37</c:v>
                </c:pt>
                <c:pt idx="2">
                  <c:v>LVS ∆pmrA KRLVS40</c:v>
                </c:pt>
                <c:pt idx="3">
                  <c:v>LVS ∆pigR</c:v>
                </c:pt>
              </c:strCache>
            </c:strRef>
          </c:cat>
          <c:val>
            <c:numRef>
              <c:f>'NOT DONE'!$L$3:$L$6</c:f>
              <c:numCache>
                <c:formatCode>0.00E+00</c:formatCode>
                <c:ptCount val="4"/>
                <c:pt idx="0">
                  <c:v>62.666666666666664</c:v>
                </c:pt>
                <c:pt idx="1">
                  <c:v>43.333333333333336</c:v>
                </c:pt>
                <c:pt idx="2">
                  <c:v>76.666666666666671</c:v>
                </c:pt>
                <c:pt idx="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1-47C7-BF3C-EF64641EC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622299</xdr:colOff>
      <xdr:row>19</xdr:row>
      <xdr:rowOff>178288</xdr:rowOff>
    </xdr:from>
    <xdr:to>
      <xdr:col>9</xdr:col>
      <xdr:colOff>273538</xdr:colOff>
      <xdr:row>31</xdr:row>
      <xdr:rowOff>121138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E61369-F4B1-4418-AE70-3DDAB31CF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15570</xdr:colOff>
      <xdr:row>3</xdr:row>
      <xdr:rowOff>12090</xdr:rowOff>
    </xdr:from>
    <xdr:to>
      <xdr:col>29</xdr:col>
      <xdr:colOff>90716</xdr:colOff>
      <xdr:row>20</xdr:row>
      <xdr:rowOff>108857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B7C6C4-FAE4-D84F-ACD2-6C5765F93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272142</xdr:colOff>
      <xdr:row>21</xdr:row>
      <xdr:rowOff>1</xdr:rowOff>
    </xdr:from>
    <xdr:to>
      <xdr:col>29</xdr:col>
      <xdr:colOff>75146</xdr:colOff>
      <xdr:row>37</xdr:row>
      <xdr:rowOff>108858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153659-822F-7D43-A709-0A18FEC95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294822</xdr:colOff>
      <xdr:row>40</xdr:row>
      <xdr:rowOff>97971</xdr:rowOff>
    </xdr:from>
    <xdr:to>
      <xdr:col>27</xdr:col>
      <xdr:colOff>68036</xdr:colOff>
      <xdr:row>54</xdr:row>
      <xdr:rowOff>47171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E231664-F9DB-0280-F5E7-9CE53EF99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419099</xdr:colOff>
      <xdr:row>18</xdr:row>
      <xdr:rowOff>31942</xdr:rowOff>
    </xdr:from>
    <xdr:to>
      <xdr:col>18</xdr:col>
      <xdr:colOff>704273</xdr:colOff>
      <xdr:row>36</xdr:row>
      <xdr:rowOff>194860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51E1F1-F696-4A54-A6D5-3AEE795E2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5C57-8139-4D40-9212-FF2505C90C78}">
  <sheetPr>
    <pageSetUpPr fitToPage="1"/>
  </sheetPr>
  <dimension ref="A1:AG21"/>
  <sheetViews>
    <sheetView topLeftCell="Q1" zoomScale="160" zoomScaleNormal="160" workbookViewId="0">
      <selection activeCell="AG14" sqref="AG14"/>
    </sheetView>
  </sheetViews>
  <sheetFormatPr baseColWidth="10" defaultColWidth="10.6640625" defaultRowHeight="16" x14ac:dyDescent="0.2"/>
  <cols>
    <col min="1" max="1" width="2.5" bestFit="1" customWidth="1"/>
    <col min="2" max="4" width="11.83203125" bestFit="1" customWidth="1"/>
    <col min="5" max="5" width="2.1640625" bestFit="1" customWidth="1"/>
    <col min="6" max="8" width="8.6640625" bestFit="1" customWidth="1"/>
    <col min="9" max="9" width="2.1640625" bestFit="1" customWidth="1"/>
    <col min="10" max="12" width="8.33203125" bestFit="1" customWidth="1"/>
    <col min="13" max="13" width="3.1640625" bestFit="1" customWidth="1"/>
    <col min="14" max="14" width="4.33203125" customWidth="1"/>
    <col min="15" max="15" width="3" customWidth="1"/>
    <col min="16" max="16" width="30.6640625" bestFit="1" customWidth="1"/>
    <col min="17" max="17" width="12.83203125" bestFit="1" customWidth="1"/>
    <col min="18" max="18" width="6.5" customWidth="1"/>
    <col min="19" max="22" width="3.1640625" bestFit="1" customWidth="1"/>
    <col min="23" max="23" width="8.6640625" bestFit="1" customWidth="1"/>
    <col min="25" max="25" width="2.1640625" bestFit="1" customWidth="1"/>
    <col min="26" max="26" width="26.6640625" bestFit="1" customWidth="1"/>
    <col min="27" max="27" width="9.33203125" bestFit="1" customWidth="1"/>
    <col min="28" max="28" width="3.5" customWidth="1"/>
    <col min="29" max="32" width="3.1640625" bestFit="1" customWidth="1"/>
    <col min="33" max="33" width="12.5" bestFit="1" customWidth="1"/>
  </cols>
  <sheetData>
    <row r="1" spans="1:33" ht="17" thickBot="1" x14ac:dyDescent="0.25">
      <c r="A1" s="2" t="s">
        <v>0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P1" s="4" t="s">
        <v>26</v>
      </c>
      <c r="Q1" s="4" t="s">
        <v>27</v>
      </c>
      <c r="Z1" s="75" t="s">
        <v>1</v>
      </c>
      <c r="AA1" s="75"/>
      <c r="AC1" s="76" t="s">
        <v>87</v>
      </c>
      <c r="AD1" s="76"/>
      <c r="AE1" s="76"/>
      <c r="AF1" s="76"/>
      <c r="AG1" s="76"/>
    </row>
    <row r="2" spans="1:33" ht="17" x14ac:dyDescent="0.2">
      <c r="A2" s="5" t="s">
        <v>2</v>
      </c>
      <c r="B2" s="6" t="s">
        <v>3</v>
      </c>
      <c r="C2" s="6" t="s">
        <v>3</v>
      </c>
      <c r="D2" s="6" t="s">
        <v>3</v>
      </c>
      <c r="E2" s="6"/>
      <c r="F2" s="6" t="s">
        <v>126</v>
      </c>
      <c r="G2" s="6" t="s">
        <v>126</v>
      </c>
      <c r="H2" s="6" t="s">
        <v>126</v>
      </c>
      <c r="I2" s="6"/>
      <c r="J2" s="6"/>
      <c r="K2" s="6"/>
      <c r="L2" s="6"/>
      <c r="M2" s="7"/>
      <c r="P2" s="2" t="s">
        <v>29</v>
      </c>
      <c r="Q2" s="14">
        <v>5</v>
      </c>
      <c r="Z2" s="2" t="s">
        <v>4</v>
      </c>
      <c r="AA2" s="9">
        <v>25000</v>
      </c>
      <c r="AC2" s="2">
        <v>68</v>
      </c>
      <c r="AD2" s="2">
        <v>36</v>
      </c>
      <c r="AE2" s="2">
        <v>40</v>
      </c>
      <c r="AF2" s="2">
        <v>45</v>
      </c>
      <c r="AG2" s="76"/>
    </row>
    <row r="3" spans="1:33" x14ac:dyDescent="0.2">
      <c r="A3" s="5" t="s">
        <v>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"/>
      <c r="P3" s="2" t="s">
        <v>31</v>
      </c>
      <c r="Q3" s="15">
        <f>AA10</f>
        <v>41333.333333333343</v>
      </c>
      <c r="Z3" s="2" t="s">
        <v>6</v>
      </c>
      <c r="AA3" s="2">
        <v>0.2</v>
      </c>
      <c r="AC3" s="2"/>
      <c r="AD3" s="2"/>
      <c r="AE3" s="2"/>
      <c r="AF3" s="2"/>
      <c r="AG3" s="76"/>
    </row>
    <row r="4" spans="1:33" x14ac:dyDescent="0.2">
      <c r="A4" s="5" t="s">
        <v>7</v>
      </c>
      <c r="B4" s="6"/>
      <c r="C4" s="6"/>
      <c r="D4" s="6"/>
      <c r="E4" s="7"/>
      <c r="F4" s="6"/>
      <c r="G4" s="6"/>
      <c r="H4" s="6"/>
      <c r="I4" s="8"/>
      <c r="J4" s="6"/>
      <c r="K4" s="6"/>
      <c r="L4" s="6"/>
      <c r="M4" s="2"/>
      <c r="P4" s="2" t="s">
        <v>33</v>
      </c>
      <c r="Q4" s="14">
        <v>0.05</v>
      </c>
      <c r="Z4" s="2" t="s">
        <v>8</v>
      </c>
      <c r="AA4" s="9">
        <f>AA2/AA3</f>
        <v>125000</v>
      </c>
      <c r="AC4" s="76" t="s">
        <v>88</v>
      </c>
      <c r="AD4" s="76"/>
      <c r="AE4" s="76"/>
      <c r="AF4" s="76"/>
      <c r="AG4" s="2">
        <f>AVERAGE(AC2:AF3)</f>
        <v>47.25</v>
      </c>
    </row>
    <row r="5" spans="1:33" ht="17" x14ac:dyDescent="0.2">
      <c r="A5" s="5" t="s">
        <v>9</v>
      </c>
      <c r="B5" s="6" t="s">
        <v>127</v>
      </c>
      <c r="C5" s="6" t="s">
        <v>127</v>
      </c>
      <c r="D5" s="6" t="s">
        <v>127</v>
      </c>
      <c r="E5" s="6"/>
      <c r="F5" s="6" t="s">
        <v>92</v>
      </c>
      <c r="G5" s="6" t="s">
        <v>92</v>
      </c>
      <c r="H5" s="6" t="s">
        <v>92</v>
      </c>
      <c r="I5" s="6"/>
      <c r="J5" s="6"/>
      <c r="K5" s="6"/>
      <c r="L5" s="6"/>
      <c r="M5" s="2"/>
      <c r="P5" s="16" t="s">
        <v>36</v>
      </c>
      <c r="Q5" s="15">
        <f>(Q3*Q2/Q4)</f>
        <v>4133333.333333334</v>
      </c>
      <c r="Z5" s="2" t="s">
        <v>10</v>
      </c>
      <c r="AA5" s="2">
        <v>12</v>
      </c>
      <c r="AC5" s="76" t="s">
        <v>89</v>
      </c>
      <c r="AD5" s="76"/>
      <c r="AE5" s="76"/>
      <c r="AF5" s="76"/>
      <c r="AG5" s="2">
        <f>AG4*2</f>
        <v>94.5</v>
      </c>
    </row>
    <row r="6" spans="1:33" ht="17" x14ac:dyDescent="0.2">
      <c r="A6" s="5" t="s">
        <v>11</v>
      </c>
      <c r="B6" s="6"/>
      <c r="C6" s="6"/>
      <c r="D6" s="6"/>
      <c r="E6" s="6"/>
      <c r="F6" s="6"/>
      <c r="G6" s="6"/>
      <c r="H6" s="6"/>
      <c r="I6" s="6"/>
      <c r="J6" s="6" t="s">
        <v>0</v>
      </c>
      <c r="K6" s="6"/>
      <c r="L6" s="6"/>
      <c r="M6" s="2"/>
      <c r="P6" s="2" t="s">
        <v>38</v>
      </c>
      <c r="Q6" s="15">
        <v>5810000000</v>
      </c>
      <c r="Z6" s="2" t="s">
        <v>12</v>
      </c>
      <c r="AA6" s="9">
        <f>AG6</f>
        <v>945000</v>
      </c>
      <c r="AC6" s="76" t="s">
        <v>90</v>
      </c>
      <c r="AD6" s="76"/>
      <c r="AE6" s="76"/>
      <c r="AF6" s="76"/>
      <c r="AG6" s="9">
        <f>AG5*10000</f>
        <v>945000</v>
      </c>
    </row>
    <row r="7" spans="1:33" x14ac:dyDescent="0.2">
      <c r="A7" s="5" t="s">
        <v>13</v>
      </c>
      <c r="B7" s="10"/>
      <c r="C7" s="12"/>
      <c r="D7" s="6"/>
      <c r="E7" s="6"/>
      <c r="F7" s="6"/>
      <c r="G7" s="6"/>
      <c r="H7" s="6"/>
      <c r="I7" s="11"/>
      <c r="J7" s="11"/>
      <c r="K7" s="11"/>
      <c r="L7" s="11"/>
      <c r="M7" s="2"/>
      <c r="P7" s="2" t="s">
        <v>39</v>
      </c>
      <c r="Q7" s="17">
        <f>Q5/Q6</f>
        <v>7.114170969592657E-4</v>
      </c>
      <c r="Z7" s="2" t="s">
        <v>14</v>
      </c>
      <c r="AA7" s="68">
        <v>2</v>
      </c>
    </row>
    <row r="8" spans="1:33" x14ac:dyDescent="0.2">
      <c r="A8" s="5" t="s">
        <v>15</v>
      </c>
      <c r="B8" s="6"/>
      <c r="C8" s="6"/>
      <c r="D8" s="6"/>
      <c r="E8" s="7"/>
      <c r="F8" s="6"/>
      <c r="G8" s="6"/>
      <c r="H8" s="6"/>
      <c r="I8" s="8"/>
      <c r="J8" s="6"/>
      <c r="K8" s="6"/>
      <c r="L8" s="6"/>
      <c r="M8" s="6"/>
      <c r="P8" s="2" t="s">
        <v>40</v>
      </c>
      <c r="Q8" s="18">
        <v>7.4999999999999997E-2</v>
      </c>
      <c r="Z8" s="2" t="s">
        <v>16</v>
      </c>
      <c r="AA8" s="68">
        <f>AA5-AA7</f>
        <v>10</v>
      </c>
      <c r="AC8" s="76" t="s">
        <v>86</v>
      </c>
      <c r="AD8" s="76"/>
      <c r="AE8" s="76"/>
      <c r="AF8" s="76"/>
      <c r="AG8" s="76"/>
    </row>
    <row r="9" spans="1:33" x14ac:dyDescent="0.2">
      <c r="A9" s="5" t="s">
        <v>17</v>
      </c>
      <c r="B9" s="10"/>
      <c r="C9" s="12"/>
      <c r="D9" s="6"/>
      <c r="E9" s="6"/>
      <c r="F9" s="6"/>
      <c r="G9" s="6"/>
      <c r="H9" s="6"/>
      <c r="I9" s="11"/>
      <c r="J9" s="11"/>
      <c r="K9" s="11"/>
      <c r="L9" s="11"/>
      <c r="M9" s="2"/>
      <c r="P9" s="2" t="s">
        <v>41</v>
      </c>
      <c r="Q9" s="19">
        <f>Q8/100</f>
        <v>7.5000000000000002E-4</v>
      </c>
      <c r="Z9" s="2" t="s">
        <v>18</v>
      </c>
      <c r="AA9" s="9">
        <f>AG14</f>
        <v>206666.66666666669</v>
      </c>
      <c r="AC9" s="2">
        <v>4</v>
      </c>
      <c r="AD9" s="2">
        <v>5</v>
      </c>
      <c r="AE9" s="2">
        <v>10</v>
      </c>
      <c r="AF9" s="2">
        <v>9</v>
      </c>
      <c r="AG9" s="77"/>
    </row>
    <row r="10" spans="1:33" x14ac:dyDescent="0.2">
      <c r="H10" s="1"/>
      <c r="Z10" s="2" t="s">
        <v>19</v>
      </c>
      <c r="AA10" s="9">
        <f>AA9*0.2</f>
        <v>41333.333333333343</v>
      </c>
      <c r="AC10" s="2">
        <v>10</v>
      </c>
      <c r="AD10" s="2">
        <v>7</v>
      </c>
      <c r="AE10" s="2">
        <v>19</v>
      </c>
      <c r="AF10" s="2">
        <v>9</v>
      </c>
      <c r="AG10" s="78"/>
    </row>
    <row r="11" spans="1:33" x14ac:dyDescent="0.2">
      <c r="O11" s="2">
        <v>1</v>
      </c>
      <c r="P11" s="2" t="s">
        <v>3</v>
      </c>
      <c r="Q11" s="2" t="s">
        <v>125</v>
      </c>
      <c r="AC11" s="2">
        <v>9</v>
      </c>
      <c r="AD11" s="2">
        <v>17</v>
      </c>
      <c r="AE11" s="2">
        <v>9</v>
      </c>
      <c r="AF11" s="2">
        <v>16</v>
      </c>
      <c r="AG11" s="79"/>
    </row>
    <row r="12" spans="1:33" x14ac:dyDescent="0.2">
      <c r="O12" s="2">
        <v>2</v>
      </c>
      <c r="P12" s="2" t="s">
        <v>123</v>
      </c>
      <c r="Q12" s="2" t="s">
        <v>126</v>
      </c>
      <c r="AC12" s="76" t="s">
        <v>88</v>
      </c>
      <c r="AD12" s="76"/>
      <c r="AE12" s="76"/>
      <c r="AF12" s="76"/>
      <c r="AG12" s="62">
        <f>AVERAGE(AC9:AF11)</f>
        <v>10.333333333333334</v>
      </c>
    </row>
    <row r="13" spans="1:33" x14ac:dyDescent="0.2">
      <c r="O13" s="2">
        <v>3</v>
      </c>
      <c r="P13" s="2" t="s">
        <v>124</v>
      </c>
      <c r="Q13" s="2" t="s">
        <v>127</v>
      </c>
      <c r="AC13" s="76" t="s">
        <v>89</v>
      </c>
      <c r="AD13" s="76"/>
      <c r="AE13" s="76"/>
      <c r="AF13" s="76"/>
      <c r="AG13" s="2">
        <f>AG12*2</f>
        <v>20.666666666666668</v>
      </c>
    </row>
    <row r="14" spans="1:33" x14ac:dyDescent="0.2">
      <c r="O14" s="2">
        <v>4</v>
      </c>
      <c r="P14" s="2" t="s">
        <v>140</v>
      </c>
      <c r="Q14" s="2" t="s">
        <v>139</v>
      </c>
      <c r="AC14" s="76" t="s">
        <v>90</v>
      </c>
      <c r="AD14" s="76"/>
      <c r="AE14" s="76"/>
      <c r="AF14" s="76"/>
      <c r="AG14" s="9">
        <f>AG13*10000</f>
        <v>206666.66666666669</v>
      </c>
    </row>
    <row r="15" spans="1:33" x14ac:dyDescent="0.2">
      <c r="O15" s="2">
        <v>5</v>
      </c>
      <c r="P15" s="2" t="s">
        <v>92</v>
      </c>
      <c r="Q15" s="2" t="s">
        <v>94</v>
      </c>
    </row>
    <row r="16" spans="1:33" x14ac:dyDescent="0.2">
      <c r="O16" s="2"/>
      <c r="P16" s="2"/>
      <c r="Q16" s="2"/>
    </row>
    <row r="21" spans="25:25" x14ac:dyDescent="0.2">
      <c r="Y21" s="1"/>
    </row>
  </sheetData>
  <mergeCells count="11">
    <mergeCell ref="AC12:AF12"/>
    <mergeCell ref="AC13:AF13"/>
    <mergeCell ref="AC14:AF14"/>
    <mergeCell ref="AG2:AG3"/>
    <mergeCell ref="AG9:AG11"/>
    <mergeCell ref="Z1:AA1"/>
    <mergeCell ref="AC1:AG1"/>
    <mergeCell ref="AC8:AG8"/>
    <mergeCell ref="AC4:AF4"/>
    <mergeCell ref="AC5:AF5"/>
    <mergeCell ref="AC6:AF6"/>
  </mergeCells>
  <phoneticPr fontId="6" type="noConversion"/>
  <pageMargins left="0.25" right="0.25" top="0.75" bottom="0.75" header="0.3" footer="0.3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3F144-0068-344F-A19C-2945CA9942F0}">
  <sheetPr>
    <pageSetUpPr fitToPage="1"/>
  </sheetPr>
  <dimension ref="A2:AA39"/>
  <sheetViews>
    <sheetView zoomScale="180" zoomScaleNormal="180" workbookViewId="0">
      <selection activeCell="A4" sqref="A4:D12"/>
    </sheetView>
  </sheetViews>
  <sheetFormatPr baseColWidth="10" defaultColWidth="10.6640625" defaultRowHeight="16" x14ac:dyDescent="0.2"/>
  <cols>
    <col min="1" max="1" width="16" bestFit="1" customWidth="1"/>
    <col min="2" max="2" width="10.6640625" bestFit="1" customWidth="1"/>
    <col min="3" max="3" width="4.83203125" bestFit="1" customWidth="1"/>
    <col min="4" max="4" width="10.6640625" bestFit="1" customWidth="1"/>
    <col min="5" max="5" width="4.83203125" bestFit="1" customWidth="1"/>
    <col min="6" max="6" width="31.6640625" customWidth="1"/>
    <col min="8" max="10" width="16.33203125" customWidth="1"/>
    <col min="12" max="14" width="16.33203125" customWidth="1"/>
    <col min="17" max="17" width="26.6640625" bestFit="1" customWidth="1"/>
    <col min="20" max="20" width="33.5" bestFit="1" customWidth="1"/>
  </cols>
  <sheetData>
    <row r="2" spans="1:10" x14ac:dyDescent="0.2">
      <c r="J2" s="1"/>
    </row>
    <row r="4" spans="1:10" x14ac:dyDescent="0.2">
      <c r="A4" s="40"/>
      <c r="B4" s="41" t="s">
        <v>104</v>
      </c>
      <c r="C4" s="40"/>
      <c r="D4" s="40"/>
    </row>
    <row r="5" spans="1:10" x14ac:dyDescent="0.2">
      <c r="A5" s="42" t="s">
        <v>20</v>
      </c>
      <c r="B5" s="42" t="s">
        <v>21</v>
      </c>
      <c r="C5" s="42" t="s">
        <v>22</v>
      </c>
      <c r="D5" s="42" t="s">
        <v>23</v>
      </c>
    </row>
    <row r="6" spans="1:10" x14ac:dyDescent="0.2">
      <c r="A6" s="43" t="s">
        <v>24</v>
      </c>
      <c r="B6" s="43">
        <v>5</v>
      </c>
      <c r="C6" s="43"/>
      <c r="D6" s="43" t="s">
        <v>93</v>
      </c>
    </row>
    <row r="7" spans="1:10" x14ac:dyDescent="0.2">
      <c r="A7" s="43" t="s">
        <v>25</v>
      </c>
      <c r="B7" s="43">
        <v>0</v>
      </c>
      <c r="C7" s="43">
        <f>5*2</f>
        <v>10</v>
      </c>
      <c r="D7" s="43" t="s">
        <v>129</v>
      </c>
    </row>
    <row r="8" spans="1:10" x14ac:dyDescent="0.2">
      <c r="A8" s="43" t="s">
        <v>28</v>
      </c>
      <c r="B8" s="43">
        <v>0</v>
      </c>
      <c r="C8" s="43">
        <v>0</v>
      </c>
      <c r="D8" s="43" t="s">
        <v>130</v>
      </c>
    </row>
    <row r="9" spans="1:10" ht="73" x14ac:dyDescent="0.2">
      <c r="A9" s="43" t="s">
        <v>30</v>
      </c>
      <c r="B9" s="43">
        <f>3*2</f>
        <v>6</v>
      </c>
      <c r="C9" s="43">
        <f>24*3</f>
        <v>72</v>
      </c>
      <c r="D9" s="44" t="s">
        <v>141</v>
      </c>
    </row>
    <row r="10" spans="1:10" x14ac:dyDescent="0.2">
      <c r="A10" s="43" t="s">
        <v>32</v>
      </c>
      <c r="B10" s="43">
        <f>SUM(B6:B9)</f>
        <v>11</v>
      </c>
      <c r="C10" s="43">
        <f>SUM(C6:C9)</f>
        <v>82</v>
      </c>
      <c r="D10" s="82" t="s">
        <v>35</v>
      </c>
      <c r="F10">
        <v>19</v>
      </c>
    </row>
    <row r="11" spans="1:10" ht="17" thickBot="1" x14ac:dyDescent="0.25">
      <c r="A11" s="45" t="s">
        <v>34</v>
      </c>
      <c r="B11" s="45">
        <f>B10/25</f>
        <v>0.44</v>
      </c>
      <c r="C11" s="46">
        <f>C10/20</f>
        <v>4.0999999999999996</v>
      </c>
      <c r="D11" s="82"/>
      <c r="F11">
        <f>36+6</f>
        <v>42</v>
      </c>
    </row>
    <row r="12" spans="1:10" ht="17" thickBot="1" x14ac:dyDescent="0.25">
      <c r="A12" s="47" t="s">
        <v>37</v>
      </c>
      <c r="B12" s="48">
        <f>SUM(B11:C11)</f>
        <v>4.54</v>
      </c>
      <c r="C12" s="40"/>
      <c r="D12" s="40"/>
      <c r="F12">
        <f>F11-F10</f>
        <v>23</v>
      </c>
    </row>
    <row r="18" spans="1:27" x14ac:dyDescent="0.2">
      <c r="A18" t="s">
        <v>116</v>
      </c>
      <c r="G18" s="41" t="s">
        <v>105</v>
      </c>
      <c r="H18" s="40"/>
    </row>
    <row r="19" spans="1:27" x14ac:dyDescent="0.2">
      <c r="A19" s="42" t="s">
        <v>20</v>
      </c>
      <c r="B19" s="42" t="s">
        <v>21</v>
      </c>
      <c r="C19" s="42" t="s">
        <v>22</v>
      </c>
      <c r="D19" s="42" t="s">
        <v>23</v>
      </c>
      <c r="G19" s="42" t="s">
        <v>21</v>
      </c>
      <c r="H19" s="42" t="s">
        <v>22</v>
      </c>
    </row>
    <row r="20" spans="1:27" x14ac:dyDescent="0.2">
      <c r="A20" s="43" t="s">
        <v>24</v>
      </c>
      <c r="B20" s="43">
        <v>8</v>
      </c>
      <c r="C20" s="43"/>
      <c r="D20" s="43" t="s">
        <v>93</v>
      </c>
      <c r="G20" s="43">
        <v>5</v>
      </c>
      <c r="H20" s="43"/>
    </row>
    <row r="21" spans="1:27" x14ac:dyDescent="0.2">
      <c r="A21" s="43" t="s">
        <v>25</v>
      </c>
      <c r="B21" s="43">
        <v>0</v>
      </c>
      <c r="C21" s="43">
        <v>16</v>
      </c>
      <c r="D21" s="43" t="s">
        <v>117</v>
      </c>
      <c r="G21" s="43">
        <v>0</v>
      </c>
      <c r="H21" s="43">
        <f>5*2</f>
        <v>10</v>
      </c>
    </row>
    <row r="22" spans="1:27" x14ac:dyDescent="0.2">
      <c r="A22" s="43" t="s">
        <v>28</v>
      </c>
      <c r="B22" s="43">
        <v>0</v>
      </c>
      <c r="C22" s="43">
        <v>0</v>
      </c>
      <c r="D22" s="43" t="s">
        <v>118</v>
      </c>
      <c r="G22" s="43">
        <f>5*3*2</f>
        <v>30</v>
      </c>
      <c r="H22" s="43">
        <v>0</v>
      </c>
    </row>
    <row r="23" spans="1:27" ht="61" x14ac:dyDescent="0.2">
      <c r="A23" s="43" t="s">
        <v>30</v>
      </c>
      <c r="B23" s="43">
        <v>4</v>
      </c>
      <c r="C23" s="43">
        <v>28</v>
      </c>
      <c r="D23" s="44" t="s">
        <v>119</v>
      </c>
      <c r="G23" s="43"/>
      <c r="H23" s="43">
        <f>5*3*2</f>
        <v>30</v>
      </c>
    </row>
    <row r="24" spans="1:27" x14ac:dyDescent="0.2">
      <c r="A24" s="43" t="s">
        <v>32</v>
      </c>
      <c r="B24" s="43">
        <f>SUM(B20:B23)+B10</f>
        <v>23</v>
      </c>
      <c r="C24" s="43">
        <f>SUM(C20:C23)+C10</f>
        <v>126</v>
      </c>
      <c r="D24" s="44"/>
      <c r="G24" s="43">
        <f>SUM(G20:G23)</f>
        <v>35</v>
      </c>
      <c r="H24" s="43">
        <f>SUM(H20:H23)</f>
        <v>40</v>
      </c>
    </row>
    <row r="25" spans="1:27" x14ac:dyDescent="0.2">
      <c r="A25" s="43" t="s">
        <v>120</v>
      </c>
      <c r="B25" s="67">
        <v>30</v>
      </c>
      <c r="C25" s="67">
        <v>50</v>
      </c>
      <c r="D25" s="82" t="s">
        <v>35</v>
      </c>
      <c r="G25">
        <v>40</v>
      </c>
      <c r="H25">
        <v>45</v>
      </c>
    </row>
    <row r="26" spans="1:27" ht="17" thickBot="1" x14ac:dyDescent="0.25">
      <c r="A26" s="45" t="s">
        <v>34</v>
      </c>
      <c r="B26" s="45">
        <f>B25/25</f>
        <v>1.2</v>
      </c>
      <c r="C26" s="46">
        <f>C25/20</f>
        <v>2.5</v>
      </c>
      <c r="D26" s="82"/>
      <c r="G26" s="45">
        <f>G25/25</f>
        <v>1.6</v>
      </c>
      <c r="H26" s="46">
        <f>H25/20</f>
        <v>2.25</v>
      </c>
    </row>
    <row r="27" spans="1:27" ht="17" thickBot="1" x14ac:dyDescent="0.25">
      <c r="A27" s="47" t="s">
        <v>37</v>
      </c>
      <c r="B27" s="48">
        <f>SUM(B26:C26)</f>
        <v>3.7</v>
      </c>
      <c r="C27" s="40"/>
      <c r="D27" s="40"/>
      <c r="G27" s="48">
        <f>SUM(G26:H26)</f>
        <v>3.85</v>
      </c>
      <c r="H27" s="40"/>
      <c r="I27">
        <f>SUM(B27,G27)</f>
        <v>7.5500000000000007</v>
      </c>
    </row>
    <row r="28" spans="1:27" x14ac:dyDescent="0.2">
      <c r="X28" s="80" t="s">
        <v>42</v>
      </c>
      <c r="Y28" s="81"/>
    </row>
    <row r="29" spans="1:27" ht="68" x14ac:dyDescent="0.2">
      <c r="B29">
        <f>30-13</f>
        <v>17</v>
      </c>
      <c r="C29">
        <f>B29*24</f>
        <v>408</v>
      </c>
      <c r="D29">
        <f>600-C29</f>
        <v>192</v>
      </c>
      <c r="U29" s="11" t="s">
        <v>43</v>
      </c>
      <c r="V29" s="11" t="s">
        <v>44</v>
      </c>
      <c r="W29" s="6" t="s">
        <v>45</v>
      </c>
      <c r="X29" s="6" t="s">
        <v>46</v>
      </c>
      <c r="Y29" s="6" t="s">
        <v>47</v>
      </c>
      <c r="Z29" s="6" t="s">
        <v>48</v>
      </c>
      <c r="AA29" s="6" t="s">
        <v>49</v>
      </c>
    </row>
    <row r="30" spans="1:27" ht="17" x14ac:dyDescent="0.2">
      <c r="U30" s="11">
        <v>1</v>
      </c>
      <c r="V30" s="6" t="s">
        <v>3</v>
      </c>
      <c r="W30" s="2">
        <v>0.9</v>
      </c>
      <c r="X30" s="2">
        <v>36.1</v>
      </c>
      <c r="Y30" s="2">
        <f>1300-X30</f>
        <v>1263.9000000000001</v>
      </c>
      <c r="Z30" s="2">
        <v>1.9E-2</v>
      </c>
      <c r="AA30" s="2">
        <v>12.5</v>
      </c>
    </row>
    <row r="31" spans="1:27" ht="18" thickBot="1" x14ac:dyDescent="0.25">
      <c r="A31" s="2" t="s">
        <v>0</v>
      </c>
      <c r="B31" s="3">
        <v>1</v>
      </c>
      <c r="C31" s="3">
        <v>2</v>
      </c>
      <c r="D31" s="3">
        <v>1</v>
      </c>
      <c r="E31" s="3">
        <v>2</v>
      </c>
      <c r="F31" s="3">
        <v>3</v>
      </c>
      <c r="G31" s="3">
        <v>4</v>
      </c>
      <c r="H31" s="3">
        <v>5</v>
      </c>
      <c r="I31" s="3">
        <v>6</v>
      </c>
      <c r="J31" s="3">
        <v>7</v>
      </c>
      <c r="K31" s="3">
        <v>8</v>
      </c>
      <c r="L31" s="3">
        <v>9</v>
      </c>
      <c r="M31" s="3">
        <v>10</v>
      </c>
      <c r="N31" s="3">
        <v>11</v>
      </c>
      <c r="O31" s="3">
        <v>12</v>
      </c>
      <c r="U31" s="11">
        <v>2</v>
      </c>
      <c r="V31" s="20" t="s">
        <v>50</v>
      </c>
      <c r="W31" s="2">
        <v>1.1000000000000001</v>
      </c>
      <c r="X31" s="2">
        <v>29.5</v>
      </c>
      <c r="Y31" s="2">
        <f t="shared" ref="Y31:Y32" si="0">1300-X31</f>
        <v>1270.5</v>
      </c>
      <c r="Z31" s="2">
        <v>0.02</v>
      </c>
      <c r="AA31" s="2">
        <v>12.5</v>
      </c>
    </row>
    <row r="32" spans="1:27" ht="34" x14ac:dyDescent="0.2">
      <c r="A32" s="5" t="s">
        <v>2</v>
      </c>
      <c r="B32" s="6" t="s">
        <v>51</v>
      </c>
      <c r="C32" s="6"/>
      <c r="D32" s="6" t="s">
        <v>51</v>
      </c>
      <c r="E32" s="6"/>
      <c r="F32" s="6"/>
      <c r="G32" s="7"/>
      <c r="H32" s="7"/>
      <c r="I32" s="20"/>
      <c r="J32" s="20"/>
      <c r="K32" s="20"/>
      <c r="L32" s="7"/>
      <c r="M32" s="7"/>
      <c r="N32" s="7"/>
      <c r="O32" s="7"/>
      <c r="U32" s="11">
        <v>3</v>
      </c>
      <c r="V32" s="20" t="s">
        <v>52</v>
      </c>
      <c r="W32" s="2">
        <v>1.27</v>
      </c>
      <c r="X32" s="2">
        <v>25.6</v>
      </c>
      <c r="Y32" s="2">
        <f t="shared" si="0"/>
        <v>1274.4000000000001</v>
      </c>
      <c r="Z32" s="2">
        <v>2.1000000000000001E-2</v>
      </c>
      <c r="AA32" s="2">
        <v>12.5</v>
      </c>
    </row>
    <row r="33" spans="1:15" x14ac:dyDescent="0.2">
      <c r="A33" s="5" t="s">
        <v>5</v>
      </c>
      <c r="B33" s="10">
        <v>0.1</v>
      </c>
      <c r="C33" s="2"/>
      <c r="D33" s="10">
        <v>0.1</v>
      </c>
      <c r="E33" s="2"/>
      <c r="F33" s="6"/>
      <c r="G33" s="6"/>
      <c r="H33" s="6"/>
      <c r="I33" s="6"/>
      <c r="J33" s="6"/>
      <c r="K33" s="6"/>
      <c r="L33" s="6"/>
      <c r="M33" s="6"/>
      <c r="N33" s="11"/>
      <c r="O33" s="2"/>
    </row>
    <row r="34" spans="1:15" x14ac:dyDescent="0.2">
      <c r="A34" s="5" t="s">
        <v>7</v>
      </c>
      <c r="B34" s="7">
        <f>B33/10</f>
        <v>0.01</v>
      </c>
      <c r="C34" s="7"/>
      <c r="D34" s="7">
        <f>D33/10</f>
        <v>0.01</v>
      </c>
      <c r="E34" s="7"/>
      <c r="F34" s="7"/>
      <c r="G34" s="6"/>
      <c r="H34" s="7"/>
      <c r="I34" s="7"/>
      <c r="J34" s="7"/>
      <c r="K34" s="6"/>
      <c r="L34" s="7"/>
      <c r="M34" s="7"/>
      <c r="N34" s="7"/>
      <c r="O34" s="2"/>
    </row>
    <row r="35" spans="1:15" x14ac:dyDescent="0.2">
      <c r="A35" s="5" t="s">
        <v>9</v>
      </c>
      <c r="B35" s="7">
        <f>B34/10</f>
        <v>1E-3</v>
      </c>
      <c r="C35" s="6"/>
      <c r="D35" s="7">
        <f>D34/10</f>
        <v>1E-3</v>
      </c>
      <c r="E35" s="6"/>
      <c r="F35" s="6"/>
      <c r="G35" s="7"/>
      <c r="H35" s="7"/>
      <c r="I35" s="20"/>
      <c r="J35" s="20"/>
      <c r="K35" s="20"/>
      <c r="L35" s="7"/>
      <c r="M35" s="7"/>
      <c r="O35" s="2"/>
    </row>
    <row r="36" spans="1:15" x14ac:dyDescent="0.2">
      <c r="A36" s="5" t="s">
        <v>11</v>
      </c>
      <c r="B36" s="10">
        <v>0.1</v>
      </c>
      <c r="C36" s="12"/>
      <c r="D36" s="10">
        <v>0.1</v>
      </c>
      <c r="E36" s="12"/>
      <c r="F36" s="6"/>
      <c r="G36" s="11"/>
      <c r="H36" s="6"/>
      <c r="I36" s="6"/>
      <c r="J36" s="6"/>
      <c r="K36" s="11"/>
      <c r="L36" s="11"/>
      <c r="M36" s="11"/>
      <c r="N36" s="11"/>
      <c r="O36" s="2"/>
    </row>
    <row r="37" spans="1:15" x14ac:dyDescent="0.2">
      <c r="A37" s="5" t="s">
        <v>13</v>
      </c>
      <c r="B37" s="7">
        <f>B36/10</f>
        <v>0.01</v>
      </c>
      <c r="C37" s="11"/>
      <c r="D37" s="7">
        <f>D36/10</f>
        <v>0.01</v>
      </c>
      <c r="E37" s="11"/>
      <c r="F37" s="6"/>
      <c r="G37" s="11"/>
      <c r="H37" s="2"/>
      <c r="I37" s="11"/>
      <c r="J37" s="21"/>
      <c r="K37" s="11"/>
      <c r="L37" s="11"/>
      <c r="M37" s="11"/>
      <c r="N37" s="11"/>
      <c r="O37" s="2"/>
    </row>
    <row r="38" spans="1:15" x14ac:dyDescent="0.2">
      <c r="A38" s="5" t="s">
        <v>15</v>
      </c>
      <c r="B38" s="7">
        <f>B37/10</f>
        <v>1E-3</v>
      </c>
      <c r="C38" s="12"/>
      <c r="D38" s="7">
        <f>D37/10</f>
        <v>1E-3</v>
      </c>
      <c r="E38" s="12"/>
      <c r="F38" s="6"/>
      <c r="G38" s="6"/>
      <c r="H38" s="6"/>
      <c r="I38" s="6"/>
      <c r="J38" s="6"/>
      <c r="K38" s="2"/>
      <c r="L38" s="6"/>
      <c r="M38" s="6"/>
      <c r="N38" s="6"/>
      <c r="O38" s="6"/>
    </row>
    <row r="39" spans="1:15" x14ac:dyDescent="0.2">
      <c r="A39" s="5" t="s">
        <v>17</v>
      </c>
      <c r="B39" s="10"/>
      <c r="C39" s="12"/>
      <c r="D39" s="10"/>
      <c r="E39" s="12"/>
      <c r="F39" s="6"/>
      <c r="G39" s="2"/>
      <c r="H39" s="2"/>
      <c r="I39" s="2"/>
      <c r="J39" s="9"/>
      <c r="K39" s="2"/>
      <c r="L39" s="2"/>
      <c r="M39" s="2"/>
      <c r="N39" s="2"/>
      <c r="O39" s="2"/>
    </row>
  </sheetData>
  <mergeCells count="3">
    <mergeCell ref="X28:Y28"/>
    <mergeCell ref="D10:D11"/>
    <mergeCell ref="D25:D26"/>
  </mergeCells>
  <pageMargins left="0.7" right="0.7" top="0.75" bottom="0.75" header="0.3" footer="0.3"/>
  <pageSetup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0A7C-E09B-4F01-87CD-1344538A550F}">
  <sheetPr>
    <pageSetUpPr fitToPage="1"/>
  </sheetPr>
  <dimension ref="D1:R18"/>
  <sheetViews>
    <sheetView topLeftCell="D1" zoomScale="190" zoomScaleNormal="190" workbookViewId="0">
      <selection activeCell="J3" sqref="J3:J7"/>
    </sheetView>
  </sheetViews>
  <sheetFormatPr baseColWidth="10" defaultColWidth="10.6640625" defaultRowHeight="16" x14ac:dyDescent="0.2"/>
  <cols>
    <col min="1" max="1" width="10" bestFit="1" customWidth="1"/>
    <col min="2" max="2" width="27.1640625" bestFit="1" customWidth="1"/>
    <col min="3" max="3" width="18.33203125" bestFit="1" customWidth="1"/>
    <col min="4" max="4" width="11.1640625" customWidth="1"/>
    <col min="5" max="5" width="13" customWidth="1"/>
    <col min="6" max="6" width="10.1640625" customWidth="1"/>
    <col min="7" max="7" width="14.83203125" customWidth="1"/>
    <col min="12" max="12" width="5.5" bestFit="1" customWidth="1"/>
    <col min="13" max="13" width="11.1640625" bestFit="1" customWidth="1"/>
    <col min="14" max="14" width="10.1640625" bestFit="1" customWidth="1"/>
    <col min="15" max="15" width="9.5" bestFit="1" customWidth="1"/>
    <col min="16" max="16" width="4.83203125" bestFit="1" customWidth="1"/>
    <col min="17" max="17" width="6.5" bestFit="1" customWidth="1"/>
    <col min="18" max="18" width="9" bestFit="1" customWidth="1"/>
  </cols>
  <sheetData>
    <row r="1" spans="4:18" ht="46" customHeight="1" x14ac:dyDescent="0.2">
      <c r="D1" s="51"/>
      <c r="E1" s="51"/>
      <c r="F1" s="51"/>
      <c r="G1" s="52" t="s">
        <v>142</v>
      </c>
      <c r="I1" s="83" t="s">
        <v>143</v>
      </c>
      <c r="J1" s="83"/>
    </row>
    <row r="2" spans="4:18" ht="24" x14ac:dyDescent="0.2">
      <c r="D2" s="53" t="s">
        <v>43</v>
      </c>
      <c r="E2" s="53" t="s">
        <v>44</v>
      </c>
      <c r="F2" s="54" t="s">
        <v>45</v>
      </c>
      <c r="G2" s="54" t="s">
        <v>46</v>
      </c>
      <c r="H2" s="54" t="s">
        <v>48</v>
      </c>
      <c r="I2" s="54" t="s">
        <v>46</v>
      </c>
      <c r="J2" s="54" t="s">
        <v>106</v>
      </c>
    </row>
    <row r="3" spans="4:18" x14ac:dyDescent="0.2">
      <c r="D3" s="53">
        <v>1</v>
      </c>
      <c r="E3" s="55" t="s">
        <v>3</v>
      </c>
      <c r="F3" s="58">
        <v>0.91</v>
      </c>
      <c r="G3" s="56">
        <f>1000*0.04/F3</f>
        <v>43.956043956043956</v>
      </c>
      <c r="H3" s="55">
        <v>3.9E-2</v>
      </c>
      <c r="I3" s="56">
        <f>(1000*0.00075)/H3</f>
        <v>19.23076923076923</v>
      </c>
      <c r="J3" s="57">
        <f>1000-I3</f>
        <v>980.76923076923072</v>
      </c>
    </row>
    <row r="4" spans="4:18" x14ac:dyDescent="0.2">
      <c r="D4" s="53">
        <v>2</v>
      </c>
      <c r="E4" s="55" t="s">
        <v>126</v>
      </c>
      <c r="F4" s="58">
        <v>1.42</v>
      </c>
      <c r="G4" s="56">
        <f t="shared" ref="G4:G7" si="0">1000*0.04/F4</f>
        <v>28.169014084507044</v>
      </c>
      <c r="H4" s="55">
        <v>4.2000000000000003E-2</v>
      </c>
      <c r="I4" s="56">
        <f t="shared" ref="I4:I6" si="1">(1000*0.00075)/H4</f>
        <v>17.857142857142858</v>
      </c>
      <c r="J4" s="57">
        <f t="shared" ref="J4:J7" si="2">1000-I4</f>
        <v>982.14285714285711</v>
      </c>
    </row>
    <row r="5" spans="4:18" x14ac:dyDescent="0.2">
      <c r="D5" s="53">
        <v>3</v>
      </c>
      <c r="E5" s="55" t="s">
        <v>127</v>
      </c>
      <c r="F5" s="58">
        <v>2.06</v>
      </c>
      <c r="G5" s="56">
        <f t="shared" si="0"/>
        <v>19.417475728155338</v>
      </c>
      <c r="H5" s="55">
        <v>3.4000000000000002E-2</v>
      </c>
      <c r="I5" s="56">
        <f t="shared" si="1"/>
        <v>22.058823529411764</v>
      </c>
      <c r="J5" s="57">
        <f t="shared" si="2"/>
        <v>977.94117647058829</v>
      </c>
    </row>
    <row r="6" spans="4:18" x14ac:dyDescent="0.2">
      <c r="D6" s="53">
        <v>4</v>
      </c>
      <c r="E6" s="55" t="s">
        <v>139</v>
      </c>
      <c r="F6" s="58"/>
      <c r="G6" s="56" t="e">
        <f t="shared" si="0"/>
        <v>#DIV/0!</v>
      </c>
      <c r="H6" s="60" t="s">
        <v>125</v>
      </c>
      <c r="I6" s="56" t="e">
        <f t="shared" si="1"/>
        <v>#VALUE!</v>
      </c>
      <c r="J6" s="57" t="e">
        <f t="shared" si="2"/>
        <v>#VALUE!</v>
      </c>
    </row>
    <row r="7" spans="4:18" x14ac:dyDescent="0.2">
      <c r="D7" s="53">
        <v>5</v>
      </c>
      <c r="E7" s="55" t="s">
        <v>94</v>
      </c>
      <c r="F7" s="58">
        <v>1.77</v>
      </c>
      <c r="G7" s="56">
        <f t="shared" si="0"/>
        <v>22.598870056497177</v>
      </c>
      <c r="H7" s="55">
        <v>0.06</v>
      </c>
      <c r="I7" s="56">
        <f>(1000*0.00075)/H7</f>
        <v>12.5</v>
      </c>
      <c r="J7" s="57">
        <f t="shared" si="2"/>
        <v>987.5</v>
      </c>
    </row>
    <row r="12" spans="4:18" ht="25" x14ac:dyDescent="0.2">
      <c r="L12" s="51"/>
      <c r="M12" s="51"/>
      <c r="N12" s="51"/>
      <c r="O12" s="52" t="s">
        <v>132</v>
      </c>
      <c r="Q12" s="83" t="s">
        <v>131</v>
      </c>
      <c r="R12" s="83"/>
    </row>
    <row r="13" spans="4:18" ht="24" x14ac:dyDescent="0.2">
      <c r="L13" s="53" t="s">
        <v>43</v>
      </c>
      <c r="M13" s="53" t="s">
        <v>44</v>
      </c>
      <c r="N13" s="54" t="s">
        <v>45</v>
      </c>
      <c r="O13" s="54" t="s">
        <v>46</v>
      </c>
      <c r="P13" s="54" t="s">
        <v>48</v>
      </c>
      <c r="Q13" s="54" t="s">
        <v>46</v>
      </c>
      <c r="R13" s="54" t="s">
        <v>106</v>
      </c>
    </row>
    <row r="14" spans="4:18" x14ac:dyDescent="0.2">
      <c r="L14" s="53">
        <v>1</v>
      </c>
      <c r="M14" s="55" t="s">
        <v>3</v>
      </c>
      <c r="N14" s="58">
        <v>3.32</v>
      </c>
      <c r="O14" s="56">
        <f>1000*0.04/N14</f>
        <v>12.048192771084338</v>
      </c>
      <c r="P14" s="55">
        <v>3.6999999999999998E-2</v>
      </c>
      <c r="Q14" s="56">
        <f>(1000*0.0004)/P14</f>
        <v>10.810810810810812</v>
      </c>
      <c r="R14" s="57">
        <f>1000-Q14</f>
        <v>989.18918918918916</v>
      </c>
    </row>
    <row r="15" spans="4:18" x14ac:dyDescent="0.2">
      <c r="L15" s="53">
        <v>2</v>
      </c>
      <c r="M15" s="55" t="s">
        <v>126</v>
      </c>
      <c r="N15" s="58">
        <v>3.07</v>
      </c>
      <c r="O15" s="56">
        <f t="shared" ref="O15:O18" si="3">1000*0.04/N15</f>
        <v>13.029315960912053</v>
      </c>
      <c r="P15" s="55">
        <v>3.5999999999999997E-2</v>
      </c>
      <c r="Q15" s="56">
        <f t="shared" ref="Q15:Q18" si="4">(1000*0.0004)/P15</f>
        <v>11.111111111111112</v>
      </c>
      <c r="R15" s="57">
        <f t="shared" ref="R15:R18" si="5">1000-Q15</f>
        <v>988.88888888888891</v>
      </c>
    </row>
    <row r="16" spans="4:18" x14ac:dyDescent="0.2">
      <c r="L16" s="53">
        <v>3</v>
      </c>
      <c r="M16" s="55" t="s">
        <v>127</v>
      </c>
      <c r="N16" s="58">
        <v>1.52</v>
      </c>
      <c r="O16" s="56">
        <f t="shared" si="3"/>
        <v>26.315789473684209</v>
      </c>
      <c r="P16" s="55">
        <v>4.4999999999999998E-2</v>
      </c>
      <c r="Q16" s="56">
        <f t="shared" si="4"/>
        <v>8.8888888888888893</v>
      </c>
      <c r="R16" s="57">
        <f t="shared" si="5"/>
        <v>991.11111111111109</v>
      </c>
    </row>
    <row r="17" spans="12:18" x14ac:dyDescent="0.2">
      <c r="L17" s="53">
        <v>4</v>
      </c>
      <c r="M17" s="55" t="s">
        <v>128</v>
      </c>
      <c r="N17" s="58">
        <v>1.88</v>
      </c>
      <c r="O17" s="56">
        <f t="shared" si="3"/>
        <v>21.276595744680851</v>
      </c>
      <c r="P17" s="60">
        <v>4.2000000000000003E-2</v>
      </c>
      <c r="Q17" s="56">
        <f t="shared" si="4"/>
        <v>9.5238095238095237</v>
      </c>
      <c r="R17" s="57">
        <f t="shared" si="5"/>
        <v>990.47619047619048</v>
      </c>
    </row>
    <row r="18" spans="12:18" x14ac:dyDescent="0.2">
      <c r="L18" s="53">
        <v>5</v>
      </c>
      <c r="M18" s="55" t="s">
        <v>94</v>
      </c>
      <c r="N18" s="58">
        <v>2.16</v>
      </c>
      <c r="O18" s="56">
        <f t="shared" si="3"/>
        <v>18.518518518518519</v>
      </c>
      <c r="P18" s="55">
        <v>3.6999999999999998E-2</v>
      </c>
      <c r="Q18" s="56">
        <f t="shared" si="4"/>
        <v>10.810810810810812</v>
      </c>
      <c r="R18" s="57">
        <f t="shared" si="5"/>
        <v>989.18918918918916</v>
      </c>
    </row>
  </sheetData>
  <mergeCells count="2">
    <mergeCell ref="Q12:R12"/>
    <mergeCell ref="I1:J1"/>
  </mergeCells>
  <pageMargins left="0.7" right="0.7" top="0.75" bottom="0.75" header="0.3" footer="0.3"/>
  <pageSetup scale="56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4700-43F2-4A60-9083-142E0D60CEE8}">
  <sheetPr>
    <pageSetUpPr fitToPage="1"/>
  </sheetPr>
  <dimension ref="A1:O18"/>
  <sheetViews>
    <sheetView showRuler="0" zoomScale="130" zoomScaleNormal="130" workbookViewId="0">
      <selection activeCell="M3" sqref="M3"/>
    </sheetView>
  </sheetViews>
  <sheetFormatPr baseColWidth="10" defaultColWidth="10.6640625" defaultRowHeight="16" x14ac:dyDescent="0.2"/>
  <cols>
    <col min="1" max="1" width="20.83203125" bestFit="1" customWidth="1"/>
    <col min="2" max="2" width="9" bestFit="1" customWidth="1"/>
    <col min="3" max="3" width="9" customWidth="1"/>
    <col min="4" max="4" width="8.6640625" customWidth="1"/>
    <col min="5" max="6" width="6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5" x14ac:dyDescent="0.2">
      <c r="A1" s="23" t="s">
        <v>53</v>
      </c>
      <c r="B1" s="24"/>
      <c r="C1" s="24"/>
      <c r="D1" s="84"/>
      <c r="E1" s="84"/>
      <c r="F1" s="84"/>
    </row>
    <row r="2" spans="1:15" ht="51" x14ac:dyDescent="0.2">
      <c r="A2" s="23"/>
      <c r="B2" s="25" t="s">
        <v>54</v>
      </c>
      <c r="C2" s="23">
        <v>1</v>
      </c>
      <c r="D2" s="23">
        <v>2</v>
      </c>
      <c r="E2" s="23">
        <v>3</v>
      </c>
      <c r="F2" s="26">
        <v>4</v>
      </c>
      <c r="G2" s="27" t="s">
        <v>55</v>
      </c>
      <c r="H2" s="27" t="s">
        <v>56</v>
      </c>
      <c r="I2" s="27" t="s">
        <v>57</v>
      </c>
      <c r="J2" s="27" t="s">
        <v>58</v>
      </c>
      <c r="K2" s="27" t="s">
        <v>59</v>
      </c>
      <c r="L2" s="27" t="s">
        <v>58</v>
      </c>
      <c r="M2" s="28" t="s">
        <v>60</v>
      </c>
      <c r="O2" s="69" t="s">
        <v>53</v>
      </c>
    </row>
    <row r="3" spans="1:15" x14ac:dyDescent="0.2">
      <c r="A3" s="85" t="s">
        <v>3</v>
      </c>
      <c r="B3" s="11" t="s">
        <v>61</v>
      </c>
      <c r="C3" s="14" t="s">
        <v>62</v>
      </c>
      <c r="D3" s="14" t="s">
        <v>62</v>
      </c>
      <c r="E3" s="14" t="s">
        <v>62</v>
      </c>
      <c r="F3" s="33">
        <v>41</v>
      </c>
      <c r="G3" s="14">
        <v>1E-3</v>
      </c>
      <c r="H3" s="15">
        <f>F3/(G3*0.01)</f>
        <v>4099999.9999999995</v>
      </c>
      <c r="I3" s="9">
        <f>AVERAGE(H3:H4)</f>
        <v>3899999.9999999995</v>
      </c>
      <c r="J3" s="9">
        <f>STDEV(H3:H4)</f>
        <v>282842.71247461904</v>
      </c>
      <c r="K3" s="9">
        <f>I3*0.05</f>
        <v>195000</v>
      </c>
      <c r="L3" s="9">
        <f>J3*0.05</f>
        <v>14142.135623730952</v>
      </c>
      <c r="M3" s="13">
        <f>K3/$O$3</f>
        <v>4.7177419354838701</v>
      </c>
      <c r="O3" s="1">
        <f>PlateSetup!AA10</f>
        <v>41333.333333333343</v>
      </c>
    </row>
    <row r="4" spans="1:15" x14ac:dyDescent="0.2">
      <c r="A4" s="85"/>
      <c r="B4" s="11" t="s">
        <v>63</v>
      </c>
      <c r="C4" s="14" t="s">
        <v>62</v>
      </c>
      <c r="D4" s="14" t="s">
        <v>62</v>
      </c>
      <c r="E4" s="14" t="s">
        <v>62</v>
      </c>
      <c r="F4" s="33">
        <v>37</v>
      </c>
      <c r="G4" s="14">
        <v>1E-3</v>
      </c>
      <c r="H4" s="15">
        <f>F4/(G4*0.01)</f>
        <v>3699999.9999999995</v>
      </c>
      <c r="I4" s="9"/>
      <c r="J4" s="9"/>
      <c r="K4" s="9"/>
      <c r="L4" s="9"/>
      <c r="M4" s="13"/>
      <c r="O4" s="1"/>
    </row>
    <row r="5" spans="1:15" x14ac:dyDescent="0.2">
      <c r="A5" s="86" t="s">
        <v>133</v>
      </c>
      <c r="B5" s="49" t="s">
        <v>64</v>
      </c>
      <c r="C5" s="14" t="s">
        <v>62</v>
      </c>
      <c r="D5" s="14" t="s">
        <v>62</v>
      </c>
      <c r="E5" s="14" t="s">
        <v>62</v>
      </c>
      <c r="F5" s="33">
        <v>35</v>
      </c>
      <c r="G5" s="14">
        <v>1E-3</v>
      </c>
      <c r="H5" s="15">
        <f>F5/(G5*0.01)</f>
        <v>3499999.9999999995</v>
      </c>
      <c r="I5" s="9">
        <f>AVERAGE(H5:H6)</f>
        <v>2635000</v>
      </c>
      <c r="J5" s="9">
        <f>STDEV(H5:H6)</f>
        <v>1223294.7314527256</v>
      </c>
      <c r="K5" s="9">
        <f>I5*0.05</f>
        <v>131750</v>
      </c>
      <c r="L5" s="9">
        <f>J5*0.05</f>
        <v>61164.736572636284</v>
      </c>
      <c r="M5" s="13">
        <f>K5/$O$3</f>
        <v>3.1874999999999991</v>
      </c>
    </row>
    <row r="6" spans="1:15" x14ac:dyDescent="0.2">
      <c r="A6" s="86"/>
      <c r="B6" s="49" t="s">
        <v>65</v>
      </c>
      <c r="C6" s="14" t="s">
        <v>62</v>
      </c>
      <c r="D6" s="14" t="s">
        <v>62</v>
      </c>
      <c r="E6" s="14">
        <v>177</v>
      </c>
      <c r="F6" s="33">
        <v>37</v>
      </c>
      <c r="G6" s="14">
        <v>0.01</v>
      </c>
      <c r="H6" s="15">
        <f>E6/(G6*0.01)</f>
        <v>1770000</v>
      </c>
      <c r="I6" s="22"/>
      <c r="J6" s="22"/>
      <c r="K6" s="9"/>
      <c r="L6" s="9"/>
      <c r="M6" s="13"/>
    </row>
    <row r="7" spans="1:15" ht="16" customHeight="1" x14ac:dyDescent="0.2">
      <c r="A7" s="87" t="s">
        <v>134</v>
      </c>
      <c r="B7" s="11" t="s">
        <v>66</v>
      </c>
      <c r="C7" s="14" t="s">
        <v>62</v>
      </c>
      <c r="D7" s="14" t="s">
        <v>62</v>
      </c>
      <c r="E7" s="14" t="s">
        <v>62</v>
      </c>
      <c r="F7" s="33">
        <v>52</v>
      </c>
      <c r="G7" s="14">
        <v>1E-3</v>
      </c>
      <c r="H7" s="15">
        <f t="shared" ref="H7:H8" si="0">F7/(G7*0.01)</f>
        <v>5200000</v>
      </c>
      <c r="I7" s="9">
        <f>AVERAGE(H7:H8)</f>
        <v>5000000</v>
      </c>
      <c r="J7" s="9">
        <f>STDEV(H7:H8)</f>
        <v>282842.71247461904</v>
      </c>
      <c r="K7" s="9">
        <f>I7*0.05</f>
        <v>250000</v>
      </c>
      <c r="L7" s="9">
        <f>J7*0.05</f>
        <v>14142.135623730952</v>
      </c>
      <c r="M7" s="13">
        <f>K7/$O$3</f>
        <v>6.0483870967741922</v>
      </c>
    </row>
    <row r="8" spans="1:15" x14ac:dyDescent="0.2">
      <c r="A8" s="88"/>
      <c r="B8" s="11" t="s">
        <v>67</v>
      </c>
      <c r="C8" s="14" t="s">
        <v>62</v>
      </c>
      <c r="D8" s="14" t="s">
        <v>62</v>
      </c>
      <c r="E8" s="14" t="s">
        <v>62</v>
      </c>
      <c r="F8" s="33">
        <v>48</v>
      </c>
      <c r="G8" s="14">
        <v>1E-3</v>
      </c>
      <c r="H8" s="15">
        <f t="shared" si="0"/>
        <v>4800000</v>
      </c>
      <c r="I8" s="22"/>
      <c r="J8" s="22"/>
      <c r="K8" s="9"/>
      <c r="L8" s="9"/>
      <c r="M8" s="13"/>
    </row>
    <row r="9" spans="1:15" ht="16" customHeight="1" x14ac:dyDescent="0.2">
      <c r="A9" s="87" t="s">
        <v>100</v>
      </c>
      <c r="B9" s="11" t="s">
        <v>97</v>
      </c>
      <c r="C9" s="14" t="s">
        <v>62</v>
      </c>
      <c r="D9" s="14" t="s">
        <v>62</v>
      </c>
      <c r="E9" s="14" t="s">
        <v>62</v>
      </c>
      <c r="F9" s="33">
        <v>17</v>
      </c>
      <c r="G9" s="14">
        <v>1E-3</v>
      </c>
      <c r="H9" s="15">
        <f t="shared" ref="H9:H10" si="1">F9/(G9*0.01)</f>
        <v>1699999.9999999998</v>
      </c>
      <c r="I9" s="9">
        <f>AVERAGE(H9:H10)</f>
        <v>1349999.9999999998</v>
      </c>
      <c r="J9" s="9">
        <f>STDEV(H9:H10)</f>
        <v>494974.74683058378</v>
      </c>
      <c r="K9" s="9">
        <f>I9*0.05</f>
        <v>67499.999999999985</v>
      </c>
      <c r="L9" s="9">
        <f>J9*0.05</f>
        <v>24748.737341529191</v>
      </c>
      <c r="M9" s="13">
        <f>K9/$O$3</f>
        <v>1.6330645161290316</v>
      </c>
    </row>
    <row r="10" spans="1:15" x14ac:dyDescent="0.2">
      <c r="A10" s="88"/>
      <c r="B10" s="11" t="s">
        <v>98</v>
      </c>
      <c r="C10" s="14" t="s">
        <v>62</v>
      </c>
      <c r="D10" s="14" t="s">
        <v>62</v>
      </c>
      <c r="E10" s="14" t="s">
        <v>62</v>
      </c>
      <c r="F10" s="33">
        <v>10</v>
      </c>
      <c r="G10" s="14">
        <v>1E-3</v>
      </c>
      <c r="H10" s="15">
        <f t="shared" si="1"/>
        <v>999999.99999999988</v>
      </c>
      <c r="I10" s="22"/>
      <c r="J10" s="22"/>
      <c r="K10" s="9"/>
      <c r="L10" s="9"/>
      <c r="M10" s="13"/>
    </row>
    <row r="11" spans="1:15" ht="16" customHeight="1" x14ac:dyDescent="0.2">
      <c r="A11" s="2" t="s">
        <v>68</v>
      </c>
      <c r="B11" s="2"/>
      <c r="C11" s="2">
        <v>1</v>
      </c>
      <c r="D11" s="2">
        <v>0.1</v>
      </c>
      <c r="E11" s="2">
        <f>D11/10</f>
        <v>0.01</v>
      </c>
      <c r="F11" s="2">
        <f>E11/10</f>
        <v>1E-3</v>
      </c>
      <c r="G11" s="14"/>
    </row>
    <row r="12" spans="1:15" ht="16" customHeight="1" x14ac:dyDescent="0.2"/>
    <row r="14" spans="1:15" x14ac:dyDescent="0.2">
      <c r="A14" s="2" t="s">
        <v>44</v>
      </c>
      <c r="B14" s="2" t="s">
        <v>59</v>
      </c>
      <c r="C14" s="2" t="s">
        <v>58</v>
      </c>
      <c r="D14" s="2" t="s">
        <v>29</v>
      </c>
    </row>
    <row r="15" spans="1:15" x14ac:dyDescent="0.2">
      <c r="A15" s="2" t="s">
        <v>3</v>
      </c>
      <c r="B15" s="9">
        <f>K3</f>
        <v>195000</v>
      </c>
      <c r="C15" s="9">
        <f>L3</f>
        <v>14142.135623730952</v>
      </c>
      <c r="D15" s="13">
        <f>M3</f>
        <v>4.7177419354838701</v>
      </c>
    </row>
    <row r="16" spans="1:15" x14ac:dyDescent="0.2">
      <c r="A16" s="2" t="s">
        <v>137</v>
      </c>
      <c r="B16" s="9">
        <f>K5</f>
        <v>131750</v>
      </c>
      <c r="C16" s="9">
        <f>L5</f>
        <v>61164.736572636284</v>
      </c>
      <c r="D16" s="13">
        <f>M5</f>
        <v>3.1874999999999991</v>
      </c>
    </row>
    <row r="17" spans="1:4" x14ac:dyDescent="0.2">
      <c r="A17" s="2" t="s">
        <v>138</v>
      </c>
      <c r="B17" s="9">
        <f>K7</f>
        <v>250000</v>
      </c>
      <c r="C17" s="9">
        <f>L7</f>
        <v>14142.135623730952</v>
      </c>
      <c r="D17" s="13">
        <f>M7</f>
        <v>6.0483870967741922</v>
      </c>
    </row>
    <row r="18" spans="1:4" ht="16" customHeight="1" x14ac:dyDescent="0.2">
      <c r="A18" s="2" t="s">
        <v>99</v>
      </c>
      <c r="B18" s="9">
        <f>K9</f>
        <v>67499.999999999985</v>
      </c>
      <c r="C18" s="9">
        <f>L9</f>
        <v>24748.737341529191</v>
      </c>
      <c r="D18" s="13">
        <f>M9</f>
        <v>1.6330645161290316</v>
      </c>
    </row>
  </sheetData>
  <mergeCells count="5">
    <mergeCell ref="D1:F1"/>
    <mergeCell ref="A3:A4"/>
    <mergeCell ref="A5:A6"/>
    <mergeCell ref="A7:A8"/>
    <mergeCell ref="A9:A10"/>
  </mergeCells>
  <pageMargins left="0.75" right="0.75" top="1" bottom="1" header="0.5" footer="0.5"/>
  <pageSetup scale="60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F100-489B-4A0B-A53D-12957D12D2FB}">
  <sheetPr>
    <pageSetUpPr fitToPage="1"/>
  </sheetPr>
  <dimension ref="A1:AN63"/>
  <sheetViews>
    <sheetView tabSelected="1" showRuler="0" topLeftCell="Q20" zoomScale="140" zoomScaleNormal="140" workbookViewId="0">
      <selection activeCell="AE32" sqref="AE32"/>
    </sheetView>
  </sheetViews>
  <sheetFormatPr baseColWidth="10" defaultColWidth="10.6640625" defaultRowHeight="16" x14ac:dyDescent="0.2"/>
  <cols>
    <col min="1" max="1" width="17.5" customWidth="1"/>
    <col min="2" max="2" width="5.5" bestFit="1" customWidth="1"/>
    <col min="3" max="4" width="6.1640625" bestFit="1" customWidth="1"/>
    <col min="5" max="5" width="6.1640625" customWidth="1"/>
    <col min="6" max="8" width="6.1640625" bestFit="1" customWidth="1"/>
    <col min="9" max="9" width="6.1640625" customWidth="1"/>
    <col min="10" max="10" width="6.1640625" bestFit="1" customWidth="1"/>
    <col min="11" max="11" width="8.33203125" bestFit="1" customWidth="1"/>
    <col min="12" max="12" width="8" bestFit="1" customWidth="1"/>
    <col min="13" max="13" width="9" bestFit="1" customWidth="1"/>
    <col min="14" max="14" width="2.1640625" customWidth="1"/>
    <col min="15" max="15" width="2.1640625" bestFit="1" customWidth="1"/>
    <col min="16" max="16" width="21.1640625" bestFit="1" customWidth="1"/>
    <col min="17" max="17" width="9.6640625" customWidth="1"/>
    <col min="18" max="18" width="8.6640625" bestFit="1" customWidth="1"/>
    <col min="19" max="19" width="7.33203125" bestFit="1" customWidth="1"/>
    <col min="20" max="20" width="9.33203125" bestFit="1" customWidth="1"/>
    <col min="21" max="21" width="10.83203125" bestFit="1" customWidth="1"/>
    <col min="25" max="25" width="20.1640625" bestFit="1" customWidth="1"/>
    <col min="34" max="34" width="18.83203125" bestFit="1" customWidth="1"/>
    <col min="40" max="40" width="10.6640625" customWidth="1"/>
    <col min="41" max="41" width="18.6640625" bestFit="1" customWidth="1"/>
    <col min="43" max="43" width="18.6640625" bestFit="1" customWidth="1"/>
    <col min="45" max="45" width="16.5" customWidth="1"/>
  </cols>
  <sheetData>
    <row r="1" spans="1:37" ht="52" x14ac:dyDescent="0.25">
      <c r="A1" s="90" t="s">
        <v>144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AI1" s="71" t="s">
        <v>122</v>
      </c>
    </row>
    <row r="2" spans="1:37" x14ac:dyDescent="0.2">
      <c r="A2" s="4" t="s">
        <v>0</v>
      </c>
      <c r="B2" s="4"/>
      <c r="C2" s="89" t="s">
        <v>83</v>
      </c>
      <c r="D2" s="89"/>
      <c r="E2" s="89"/>
      <c r="F2" s="89"/>
      <c r="G2" s="89" t="s">
        <v>84</v>
      </c>
      <c r="H2" s="89"/>
      <c r="I2" s="89"/>
      <c r="J2" s="89"/>
      <c r="N2" s="35"/>
      <c r="P2" s="75" t="s">
        <v>147</v>
      </c>
      <c r="Q2" s="75"/>
      <c r="R2" s="75"/>
      <c r="S2" s="75"/>
      <c r="T2" s="75"/>
      <c r="U2" s="75"/>
      <c r="AH2" t="s">
        <v>156</v>
      </c>
      <c r="AI2" s="72">
        <v>44739</v>
      </c>
      <c r="AJ2" s="72">
        <v>44789</v>
      </c>
      <c r="AK2" s="72">
        <v>44789</v>
      </c>
    </row>
    <row r="3" spans="1:37" ht="51" x14ac:dyDescent="0.2">
      <c r="A3" s="23"/>
      <c r="B3" s="23" t="s">
        <v>69</v>
      </c>
      <c r="C3" s="23">
        <v>1</v>
      </c>
      <c r="D3" s="23">
        <v>2</v>
      </c>
      <c r="E3" s="23">
        <v>3</v>
      </c>
      <c r="F3" s="26">
        <v>4</v>
      </c>
      <c r="G3" s="23">
        <v>1</v>
      </c>
      <c r="H3" s="23">
        <v>2</v>
      </c>
      <c r="I3" s="23">
        <v>3</v>
      </c>
      <c r="J3" s="26">
        <v>4</v>
      </c>
      <c r="K3" s="27" t="s">
        <v>55</v>
      </c>
      <c r="L3" s="27" t="s">
        <v>72</v>
      </c>
      <c r="M3" s="27" t="s">
        <v>73</v>
      </c>
      <c r="N3" s="1"/>
      <c r="P3" s="2"/>
      <c r="Q3" s="27" t="s">
        <v>75</v>
      </c>
      <c r="R3" s="23" t="s">
        <v>76</v>
      </c>
      <c r="S3" s="27" t="s">
        <v>77</v>
      </c>
      <c r="T3" s="28" t="s">
        <v>121</v>
      </c>
      <c r="U3" s="28" t="s">
        <v>150</v>
      </c>
      <c r="AG3" s="37"/>
      <c r="AH3" t="s">
        <v>157</v>
      </c>
      <c r="AI3" t="s">
        <v>158</v>
      </c>
      <c r="AJ3" t="s">
        <v>158</v>
      </c>
      <c r="AK3" t="s">
        <v>159</v>
      </c>
    </row>
    <row r="4" spans="1:37" x14ac:dyDescent="0.2">
      <c r="A4" s="85" t="s">
        <v>3</v>
      </c>
      <c r="B4" s="11" t="s">
        <v>61</v>
      </c>
      <c r="C4" s="14" t="s">
        <v>62</v>
      </c>
      <c r="D4" s="14" t="s">
        <v>62</v>
      </c>
      <c r="E4" s="33">
        <v>66</v>
      </c>
      <c r="F4" s="14">
        <v>6</v>
      </c>
      <c r="G4" s="14" t="s">
        <v>62</v>
      </c>
      <c r="H4" s="14" t="s">
        <v>62</v>
      </c>
      <c r="I4" s="33">
        <v>67</v>
      </c>
      <c r="J4" s="14">
        <v>13</v>
      </c>
      <c r="K4" s="14">
        <v>0.01</v>
      </c>
      <c r="L4" s="2">
        <f>AVERAGE(E4,I4)</f>
        <v>66.5</v>
      </c>
      <c r="M4" s="9">
        <f t="shared" ref="M4:M12" si="0">(L4/(0.01*K4))*0.2</f>
        <v>133000</v>
      </c>
      <c r="N4" s="1"/>
      <c r="O4" s="29">
        <v>1</v>
      </c>
      <c r="P4" s="2" t="s">
        <v>3</v>
      </c>
      <c r="Q4" s="9">
        <f>AVERAGE(M4:M6)</f>
        <v>101666.66666666667</v>
      </c>
      <c r="R4" s="9">
        <f>STDEV(M4:M6)</f>
        <v>27592.269448766514</v>
      </c>
      <c r="S4" s="13">
        <v>4.7177419354838701</v>
      </c>
      <c r="T4" s="2"/>
      <c r="U4" s="62">
        <f>Q4/$Q$4</f>
        <v>1</v>
      </c>
      <c r="AH4" s="2" t="s">
        <v>3</v>
      </c>
      <c r="AI4" s="73">
        <v>1</v>
      </c>
      <c r="AJ4" s="22">
        <v>1</v>
      </c>
      <c r="AK4" s="22">
        <v>1</v>
      </c>
    </row>
    <row r="5" spans="1:37" x14ac:dyDescent="0.2">
      <c r="A5" s="85"/>
      <c r="B5" s="11" t="s">
        <v>63</v>
      </c>
      <c r="C5" s="14" t="s">
        <v>62</v>
      </c>
      <c r="D5" s="14" t="s">
        <v>62</v>
      </c>
      <c r="E5" s="33">
        <v>50</v>
      </c>
      <c r="F5" s="14">
        <v>6</v>
      </c>
      <c r="G5" s="14" t="s">
        <v>62</v>
      </c>
      <c r="H5" s="14" t="s">
        <v>62</v>
      </c>
      <c r="I5" s="33">
        <v>41</v>
      </c>
      <c r="J5" s="14">
        <v>6</v>
      </c>
      <c r="K5" s="14">
        <v>0.01</v>
      </c>
      <c r="L5" s="2">
        <f t="shared" ref="L5:L6" si="1">AVERAGE(E5,I5)</f>
        <v>45.5</v>
      </c>
      <c r="M5" s="9">
        <f t="shared" si="0"/>
        <v>91000</v>
      </c>
      <c r="N5" s="1"/>
      <c r="O5" s="29">
        <v>2</v>
      </c>
      <c r="P5" s="2" t="s">
        <v>137</v>
      </c>
      <c r="Q5" s="9">
        <f>AVERAGE(M7:M9)</f>
        <v>2333.3333333333335</v>
      </c>
      <c r="R5" s="9">
        <f>STDEV(M7:M9)</f>
        <v>230.9401076758503</v>
      </c>
      <c r="S5" s="13">
        <v>3.1874999999999991</v>
      </c>
      <c r="T5" s="18">
        <f>TTEST(M7:M9,M$4:M$6,2,2)</f>
        <v>3.3706215504466326E-3</v>
      </c>
      <c r="U5" s="62">
        <f>-$Q$4/Q5</f>
        <v>-43.571428571428569</v>
      </c>
      <c r="AG5" s="36"/>
      <c r="AH5" s="2" t="s">
        <v>137</v>
      </c>
      <c r="AI5" s="73">
        <v>-9.3373493975903621</v>
      </c>
      <c r="AJ5" s="22">
        <v>-17.611548556430446</v>
      </c>
      <c r="AK5" s="22">
        <v>-43.571428571428569</v>
      </c>
    </row>
    <row r="6" spans="1:37" ht="15" customHeight="1" x14ac:dyDescent="0.2">
      <c r="A6" s="85"/>
      <c r="B6" s="11" t="s">
        <v>79</v>
      </c>
      <c r="C6" s="14" t="s">
        <v>62</v>
      </c>
      <c r="D6" s="14" t="s">
        <v>62</v>
      </c>
      <c r="E6" s="33">
        <v>33</v>
      </c>
      <c r="F6" s="14">
        <v>6</v>
      </c>
      <c r="G6" s="14" t="s">
        <v>62</v>
      </c>
      <c r="H6" s="14" t="s">
        <v>62</v>
      </c>
      <c r="I6" s="33">
        <v>48</v>
      </c>
      <c r="J6" s="14">
        <v>17</v>
      </c>
      <c r="K6" s="14">
        <v>0.01</v>
      </c>
      <c r="L6" s="2">
        <f t="shared" si="1"/>
        <v>40.5</v>
      </c>
      <c r="M6" s="9">
        <f t="shared" si="0"/>
        <v>81000</v>
      </c>
      <c r="N6" s="1"/>
      <c r="O6" s="29">
        <v>3</v>
      </c>
      <c r="P6" s="2" t="s">
        <v>138</v>
      </c>
      <c r="Q6" s="9">
        <f>AVERAGE(M10:M12)</f>
        <v>106.66666666666667</v>
      </c>
      <c r="R6" s="9">
        <f>STDEV(M10:M12)</f>
        <v>56.862407030773255</v>
      </c>
      <c r="S6" s="13">
        <v>6.0483870967741922</v>
      </c>
      <c r="T6" s="18">
        <f>TTEST(M10:M12,M$4:M$6,2,2)</f>
        <v>3.1052211717531451E-3</v>
      </c>
      <c r="U6" s="62">
        <f>-$Q$4/Q6</f>
        <v>-953.125</v>
      </c>
      <c r="AG6" s="36"/>
      <c r="AH6" s="2" t="s">
        <v>138</v>
      </c>
      <c r="AI6" s="73">
        <v>-39.141414141414138</v>
      </c>
      <c r="AJ6" s="22">
        <v>-559.16666666666663</v>
      </c>
      <c r="AK6" s="22">
        <v>-953.125</v>
      </c>
    </row>
    <row r="7" spans="1:37" ht="15" customHeight="1" x14ac:dyDescent="0.2">
      <c r="A7" s="86" t="s">
        <v>151</v>
      </c>
      <c r="B7" s="49" t="s">
        <v>64</v>
      </c>
      <c r="C7" s="14"/>
      <c r="D7" s="33">
        <v>12</v>
      </c>
      <c r="E7" s="33"/>
      <c r="F7" s="33"/>
      <c r="G7" s="14"/>
      <c r="H7" s="33">
        <v>10</v>
      </c>
      <c r="I7" s="33"/>
      <c r="J7" s="33"/>
      <c r="K7" s="14">
        <v>0.1</v>
      </c>
      <c r="L7" s="2">
        <f>AVERAGE(D7,H7)</f>
        <v>11</v>
      </c>
      <c r="M7" s="9">
        <f t="shared" si="0"/>
        <v>2200</v>
      </c>
      <c r="N7" s="1"/>
      <c r="AG7" s="36"/>
      <c r="AH7" s="2" t="s">
        <v>155</v>
      </c>
      <c r="AI7" s="73">
        <v>0.30967741935483872</v>
      </c>
      <c r="AJ7" s="74" t="s">
        <v>125</v>
      </c>
      <c r="AK7" s="74" t="s">
        <v>125</v>
      </c>
    </row>
    <row r="8" spans="1:37" ht="15" customHeight="1" x14ac:dyDescent="0.2">
      <c r="A8" s="86"/>
      <c r="B8" s="49" t="s">
        <v>65</v>
      </c>
      <c r="C8" s="14"/>
      <c r="D8" s="33">
        <v>13</v>
      </c>
      <c r="E8" s="33"/>
      <c r="F8" s="33"/>
      <c r="G8" s="14"/>
      <c r="H8" s="33">
        <v>9</v>
      </c>
      <c r="I8" s="33"/>
      <c r="J8" s="33"/>
      <c r="K8" s="14">
        <v>0.1</v>
      </c>
      <c r="L8" s="2">
        <f t="shared" ref="L8:L9" si="2">AVERAGE(D8,H8)</f>
        <v>11</v>
      </c>
      <c r="M8" s="9">
        <f t="shared" si="0"/>
        <v>2200</v>
      </c>
      <c r="N8" s="1"/>
      <c r="AH8" s="2" t="s">
        <v>99</v>
      </c>
      <c r="AI8" s="73">
        <v>-9687.5</v>
      </c>
      <c r="AJ8" s="22">
        <v>-6709.9999999999991</v>
      </c>
      <c r="AK8" s="74" t="s">
        <v>125</v>
      </c>
    </row>
    <row r="9" spans="1:37" ht="16" customHeight="1" x14ac:dyDescent="0.2">
      <c r="A9" s="86"/>
      <c r="B9" s="49" t="s">
        <v>80</v>
      </c>
      <c r="C9" s="14"/>
      <c r="D9" s="33">
        <v>14</v>
      </c>
      <c r="E9" s="33"/>
      <c r="F9" s="33"/>
      <c r="G9" s="14"/>
      <c r="H9" s="33">
        <v>12</v>
      </c>
      <c r="I9" s="33"/>
      <c r="J9" s="33"/>
      <c r="K9" s="14">
        <v>0.1</v>
      </c>
      <c r="L9" s="2">
        <f t="shared" si="2"/>
        <v>13</v>
      </c>
      <c r="M9" s="9">
        <f t="shared" si="0"/>
        <v>2600</v>
      </c>
      <c r="N9" s="1"/>
    </row>
    <row r="10" spans="1:37" ht="16" customHeight="1" x14ac:dyDescent="0.2">
      <c r="A10" s="86" t="s">
        <v>135</v>
      </c>
      <c r="B10" s="49" t="s">
        <v>66</v>
      </c>
      <c r="C10" s="33">
        <v>3</v>
      </c>
      <c r="D10" s="14"/>
      <c r="E10" s="14"/>
      <c r="F10" s="33"/>
      <c r="G10" s="33">
        <v>6</v>
      </c>
      <c r="H10" s="14"/>
      <c r="I10" s="14"/>
      <c r="J10" s="33"/>
      <c r="K10" s="14">
        <v>1</v>
      </c>
      <c r="L10" s="2">
        <f>AVERAGE(C10,G10)</f>
        <v>4.5</v>
      </c>
      <c r="M10" s="9">
        <f t="shared" si="0"/>
        <v>90</v>
      </c>
      <c r="N10" s="1"/>
    </row>
    <row r="11" spans="1:37" x14ac:dyDescent="0.2">
      <c r="A11" s="86"/>
      <c r="B11" s="49" t="s">
        <v>67</v>
      </c>
      <c r="C11" s="33">
        <v>3</v>
      </c>
      <c r="D11" s="33"/>
      <c r="E11" s="33"/>
      <c r="F11" s="33"/>
      <c r="G11" s="33">
        <v>3</v>
      </c>
      <c r="H11" s="33"/>
      <c r="I11" s="33"/>
      <c r="J11" s="33"/>
      <c r="K11" s="14">
        <v>1</v>
      </c>
      <c r="L11" s="2">
        <f t="shared" ref="L11:L12" si="3">AVERAGE(C11,G11)</f>
        <v>3</v>
      </c>
      <c r="M11" s="9">
        <f t="shared" si="0"/>
        <v>60</v>
      </c>
      <c r="N11" s="1"/>
    </row>
    <row r="12" spans="1:37" x14ac:dyDescent="0.2">
      <c r="A12" s="86"/>
      <c r="B12" s="49" t="s">
        <v>81</v>
      </c>
      <c r="C12" s="33">
        <v>12</v>
      </c>
      <c r="D12" s="14"/>
      <c r="E12" s="14"/>
      <c r="F12" s="33"/>
      <c r="G12" s="33">
        <v>5</v>
      </c>
      <c r="H12" s="14"/>
      <c r="I12" s="14"/>
      <c r="J12" s="33"/>
      <c r="K12" s="14">
        <v>1</v>
      </c>
      <c r="L12" s="2">
        <f t="shared" si="3"/>
        <v>8.5</v>
      </c>
      <c r="M12" s="9">
        <f t="shared" si="0"/>
        <v>170</v>
      </c>
      <c r="N12" s="1"/>
      <c r="O12" s="37"/>
      <c r="P12" s="1"/>
      <c r="Q12" s="1"/>
      <c r="S12" s="39"/>
      <c r="T12" s="38"/>
      <c r="U12" s="38"/>
    </row>
    <row r="13" spans="1:37" ht="16" customHeight="1" x14ac:dyDescent="0.2">
      <c r="A13" s="50" t="s">
        <v>68</v>
      </c>
      <c r="B13" s="2"/>
      <c r="C13" s="2">
        <v>1</v>
      </c>
      <c r="D13" s="2">
        <f>C13/10</f>
        <v>0.1</v>
      </c>
      <c r="E13" s="2">
        <f>D13/10</f>
        <v>0.01</v>
      </c>
      <c r="F13" s="2">
        <f>E13/10</f>
        <v>1E-3</v>
      </c>
      <c r="G13" s="2">
        <v>1</v>
      </c>
      <c r="H13" s="2">
        <f>G13/10</f>
        <v>0.1</v>
      </c>
      <c r="I13" s="2">
        <f>H13/10</f>
        <v>0.01</v>
      </c>
      <c r="J13" s="2">
        <f>I13/10</f>
        <v>1E-3</v>
      </c>
      <c r="M13" s="1"/>
      <c r="N13" s="1"/>
      <c r="O13" s="37"/>
      <c r="P13" s="1"/>
      <c r="Q13" s="1"/>
      <c r="S13" s="39"/>
      <c r="T13" s="38"/>
      <c r="U13" s="38"/>
      <c r="V13" s="1"/>
    </row>
    <row r="14" spans="1:37" ht="15" customHeight="1" x14ac:dyDescent="0.2">
      <c r="N14" s="1"/>
    </row>
    <row r="15" spans="1:37" x14ac:dyDescent="0.2">
      <c r="N15" s="1"/>
    </row>
    <row r="16" spans="1:37" ht="15" customHeight="1" x14ac:dyDescent="0.25">
      <c r="A16" s="91" t="s">
        <v>145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1"/>
    </row>
    <row r="17" spans="1:28" x14ac:dyDescent="0.2">
      <c r="A17" s="4" t="s">
        <v>0</v>
      </c>
      <c r="B17" s="4"/>
      <c r="C17" s="89" t="s">
        <v>83</v>
      </c>
      <c r="D17" s="89"/>
      <c r="E17" s="89"/>
      <c r="F17" s="89"/>
      <c r="G17" s="89" t="s">
        <v>84</v>
      </c>
      <c r="H17" s="89"/>
      <c r="I17" s="89"/>
      <c r="J17" s="89"/>
      <c r="N17" s="1"/>
      <c r="P17" s="75" t="s">
        <v>148</v>
      </c>
      <c r="Q17" s="75"/>
      <c r="R17" s="75"/>
      <c r="S17" s="75"/>
      <c r="T17" s="75"/>
      <c r="U17" s="75"/>
      <c r="AB17" s="59"/>
    </row>
    <row r="18" spans="1:28" ht="51" x14ac:dyDescent="0.2">
      <c r="A18" s="23"/>
      <c r="B18" s="23" t="s">
        <v>69</v>
      </c>
      <c r="C18" s="23">
        <v>1</v>
      </c>
      <c r="D18" s="23">
        <v>2</v>
      </c>
      <c r="E18" s="23">
        <v>3</v>
      </c>
      <c r="F18" s="26">
        <v>4</v>
      </c>
      <c r="G18" s="23">
        <v>1</v>
      </c>
      <c r="H18" s="23">
        <v>2</v>
      </c>
      <c r="I18" s="23">
        <v>3</v>
      </c>
      <c r="J18" s="26">
        <v>4</v>
      </c>
      <c r="K18" s="27" t="s">
        <v>55</v>
      </c>
      <c r="L18" s="27" t="s">
        <v>72</v>
      </c>
      <c r="M18" s="27" t="s">
        <v>73</v>
      </c>
      <c r="N18" s="1"/>
      <c r="P18" s="2"/>
      <c r="Q18" s="27" t="s">
        <v>75</v>
      </c>
      <c r="R18" s="23" t="s">
        <v>76</v>
      </c>
      <c r="S18" s="27" t="s">
        <v>77</v>
      </c>
      <c r="T18" s="28" t="s">
        <v>149</v>
      </c>
      <c r="U18" s="28" t="s">
        <v>150</v>
      </c>
    </row>
    <row r="19" spans="1:28" x14ac:dyDescent="0.2">
      <c r="A19" s="85" t="s">
        <v>3</v>
      </c>
      <c r="B19" s="11" t="s">
        <v>61</v>
      </c>
      <c r="C19" s="14" t="s">
        <v>62</v>
      </c>
      <c r="D19" s="14" t="s">
        <v>62</v>
      </c>
      <c r="E19" s="14" t="s">
        <v>62</v>
      </c>
      <c r="F19" s="33">
        <v>14</v>
      </c>
      <c r="G19" s="14" t="s">
        <v>62</v>
      </c>
      <c r="H19" s="14" t="s">
        <v>62</v>
      </c>
      <c r="I19" s="14" t="s">
        <v>62</v>
      </c>
      <c r="J19" s="33">
        <v>12</v>
      </c>
      <c r="K19" s="14">
        <v>1E-3</v>
      </c>
      <c r="L19" s="2">
        <f>AVERAGE(F19,J19)</f>
        <v>13</v>
      </c>
      <c r="M19" s="9">
        <f>(L19/(0.01*K19))*0.2</f>
        <v>260000</v>
      </c>
      <c r="N19" s="1"/>
      <c r="O19" s="29">
        <v>1</v>
      </c>
      <c r="P19" s="2" t="s">
        <v>3</v>
      </c>
      <c r="Q19" s="9">
        <f>AVERAGE(M19:M21)</f>
        <v>186666.66666666666</v>
      </c>
      <c r="R19" s="9">
        <f>STDEV(M19:M21)</f>
        <v>64454.118047905489</v>
      </c>
      <c r="S19" s="13">
        <v>4.7177419354838701</v>
      </c>
      <c r="T19" s="2">
        <f>TTEST(M4:M6,M19:M21,2,2)</f>
        <v>0.10367080107278615</v>
      </c>
      <c r="U19" s="62">
        <f>Q19/$Q$4</f>
        <v>1.8360655737704916</v>
      </c>
    </row>
    <row r="20" spans="1:28" x14ac:dyDescent="0.2">
      <c r="A20" s="85"/>
      <c r="B20" s="11" t="s">
        <v>63</v>
      </c>
      <c r="C20" s="14" t="s">
        <v>62</v>
      </c>
      <c r="D20" s="14" t="s">
        <v>62</v>
      </c>
      <c r="E20" s="33">
        <v>80</v>
      </c>
      <c r="F20" s="14">
        <v>8</v>
      </c>
      <c r="G20" s="14" t="s">
        <v>62</v>
      </c>
      <c r="H20" s="14" t="s">
        <v>62</v>
      </c>
      <c r="I20" s="33">
        <v>81</v>
      </c>
      <c r="J20" s="14">
        <v>10</v>
      </c>
      <c r="K20" s="14">
        <v>0.01</v>
      </c>
      <c r="L20" s="2">
        <f>AVERAGE(E20,I20)</f>
        <v>80.5</v>
      </c>
      <c r="M20" s="9">
        <f>(L20/(0.01*K20))*0.2</f>
        <v>161000</v>
      </c>
      <c r="N20" s="1"/>
      <c r="O20" s="29">
        <v>2</v>
      </c>
      <c r="P20" s="2" t="s">
        <v>137</v>
      </c>
      <c r="Q20" s="9">
        <f>AVERAGE(M22:M24)</f>
        <v>3100</v>
      </c>
      <c r="R20" s="9">
        <f>STDEV(M22:M24)</f>
        <v>754.983443527075</v>
      </c>
      <c r="S20" s="13">
        <v>3.1874999999999991</v>
      </c>
      <c r="T20" s="18"/>
      <c r="U20" s="62">
        <f>-$Q$4/Q20</f>
        <v>-32.795698924731184</v>
      </c>
    </row>
    <row r="21" spans="1:28" ht="16" customHeight="1" x14ac:dyDescent="0.2">
      <c r="A21" s="85"/>
      <c r="B21" s="11" t="s">
        <v>79</v>
      </c>
      <c r="C21" s="14" t="s">
        <v>62</v>
      </c>
      <c r="D21" s="14" t="s">
        <v>62</v>
      </c>
      <c r="E21" s="33">
        <v>70</v>
      </c>
      <c r="F21" s="33"/>
      <c r="G21" s="14" t="s">
        <v>62</v>
      </c>
      <c r="H21" s="14" t="s">
        <v>62</v>
      </c>
      <c r="I21" s="33">
        <v>69</v>
      </c>
      <c r="J21" s="33"/>
      <c r="K21" s="14">
        <v>0.01</v>
      </c>
      <c r="L21" s="2">
        <f>AVERAGE(E21,I21)</f>
        <v>69.5</v>
      </c>
      <c r="M21" s="9">
        <f>(L21/(0.01*K21))*0.2</f>
        <v>139000</v>
      </c>
      <c r="N21" s="1"/>
      <c r="O21" s="29">
        <v>3</v>
      </c>
      <c r="P21" s="2" t="s">
        <v>138</v>
      </c>
      <c r="Q21" s="9">
        <f>AVERAGE(M25:M27)</f>
        <v>140</v>
      </c>
      <c r="R21" s="9">
        <f>STDEV(M25:M27)</f>
        <v>69.282032302755098</v>
      </c>
      <c r="S21" s="13">
        <v>6.0483870967741922</v>
      </c>
      <c r="T21" s="18"/>
      <c r="U21" s="62">
        <f>-$Q$4/Q21</f>
        <v>-726.19047619047626</v>
      </c>
    </row>
    <row r="22" spans="1:28" ht="15" customHeight="1" x14ac:dyDescent="0.2">
      <c r="A22" s="86" t="s">
        <v>151</v>
      </c>
      <c r="B22" s="49" t="s">
        <v>64</v>
      </c>
      <c r="C22" s="14"/>
      <c r="D22" s="33">
        <v>12</v>
      </c>
      <c r="E22" s="33"/>
      <c r="F22" s="33"/>
      <c r="G22" s="14"/>
      <c r="H22" s="33"/>
      <c r="I22" s="33"/>
      <c r="J22" s="33"/>
      <c r="K22" s="14">
        <v>0.1</v>
      </c>
      <c r="L22" s="22">
        <f>AVERAGE(D22,H22)</f>
        <v>12</v>
      </c>
      <c r="M22" s="9">
        <f t="shared" ref="M22:M23" si="4">(L22/(0.01*K22))*0.2</f>
        <v>2400</v>
      </c>
      <c r="N22" s="1"/>
      <c r="O22" s="29">
        <v>5</v>
      </c>
      <c r="P22" s="2" t="s">
        <v>99</v>
      </c>
      <c r="Q22" s="9">
        <f>AVERAGE(M28:M30)</f>
        <v>20</v>
      </c>
      <c r="R22" s="9">
        <f>STDEV(M28:M30)</f>
        <v>10</v>
      </c>
      <c r="S22" s="13">
        <v>1.6330645161290316</v>
      </c>
      <c r="T22" s="18"/>
      <c r="U22" s="62">
        <f>-$Q$4/Q22</f>
        <v>-5083.3333333333339</v>
      </c>
    </row>
    <row r="23" spans="1:28" ht="16" customHeight="1" x14ac:dyDescent="0.2">
      <c r="A23" s="86"/>
      <c r="B23" s="49" t="s">
        <v>65</v>
      </c>
      <c r="C23" s="14"/>
      <c r="D23" s="33">
        <v>17</v>
      </c>
      <c r="E23" s="33"/>
      <c r="F23" s="33"/>
      <c r="G23" s="14"/>
      <c r="H23" s="33">
        <v>22</v>
      </c>
      <c r="I23" s="33"/>
      <c r="J23" s="33"/>
      <c r="K23" s="14">
        <v>0.1</v>
      </c>
      <c r="L23" s="22">
        <f>AVERAGE(D23,H23)</f>
        <v>19.5</v>
      </c>
      <c r="M23" s="9">
        <f t="shared" si="4"/>
        <v>3900</v>
      </c>
      <c r="N23" s="1"/>
    </row>
    <row r="24" spans="1:28" ht="15" customHeight="1" x14ac:dyDescent="0.2">
      <c r="A24" s="86"/>
      <c r="B24" s="49" t="s">
        <v>80</v>
      </c>
      <c r="C24" s="14"/>
      <c r="D24" s="33">
        <v>13</v>
      </c>
      <c r="E24" s="33"/>
      <c r="F24" s="33"/>
      <c r="G24" s="14"/>
      <c r="H24" s="33">
        <v>17</v>
      </c>
      <c r="I24" s="33"/>
      <c r="J24" s="33"/>
      <c r="K24" s="14">
        <v>0.1</v>
      </c>
      <c r="L24" s="22">
        <f>AVERAGE(D24,H24)</f>
        <v>15</v>
      </c>
      <c r="M24" s="9">
        <f>(L24/(0.01*K24))*0.2</f>
        <v>3000</v>
      </c>
      <c r="N24" s="1"/>
    </row>
    <row r="25" spans="1:28" x14ac:dyDescent="0.2">
      <c r="A25" s="86" t="s">
        <v>135</v>
      </c>
      <c r="B25" s="49" t="s">
        <v>66</v>
      </c>
      <c r="C25" s="33">
        <v>5</v>
      </c>
      <c r="D25" s="14"/>
      <c r="E25" s="14"/>
      <c r="F25" s="33"/>
      <c r="G25" s="33">
        <v>5</v>
      </c>
      <c r="H25" s="14"/>
      <c r="I25" s="14"/>
      <c r="J25" s="33"/>
      <c r="K25" s="14">
        <v>1</v>
      </c>
      <c r="L25" s="2">
        <f>AVERAGE(C25,G25)</f>
        <v>5</v>
      </c>
      <c r="M25" s="9">
        <f>(L25/(0.01*K25))*0.2</f>
        <v>100</v>
      </c>
      <c r="N25" s="1"/>
    </row>
    <row r="26" spans="1:28" x14ac:dyDescent="0.2">
      <c r="A26" s="86"/>
      <c r="B26" s="49" t="s">
        <v>67</v>
      </c>
      <c r="C26" s="33">
        <v>6</v>
      </c>
      <c r="D26" s="33"/>
      <c r="E26" s="33"/>
      <c r="F26" s="33"/>
      <c r="G26" s="33">
        <v>4</v>
      </c>
      <c r="H26" s="33"/>
      <c r="I26" s="33"/>
      <c r="J26" s="33"/>
      <c r="K26" s="14">
        <v>1</v>
      </c>
      <c r="L26" s="2">
        <f>AVERAGE(C26,G26)</f>
        <v>5</v>
      </c>
      <c r="M26" s="9">
        <f t="shared" ref="M26:M27" si="5">(L26/(0.01*K26))*0.2</f>
        <v>100</v>
      </c>
      <c r="N26" s="1"/>
    </row>
    <row r="27" spans="1:28" ht="15" customHeight="1" x14ac:dyDescent="0.2">
      <c r="A27" s="86"/>
      <c r="B27" s="49" t="s">
        <v>81</v>
      </c>
      <c r="C27" s="33">
        <v>12</v>
      </c>
      <c r="D27" s="14"/>
      <c r="E27" s="14"/>
      <c r="F27" s="33"/>
      <c r="G27" s="33">
        <v>10</v>
      </c>
      <c r="H27" s="14"/>
      <c r="I27" s="14"/>
      <c r="J27" s="33"/>
      <c r="K27" s="14">
        <v>1</v>
      </c>
      <c r="L27" s="2">
        <f>AVERAGE(C27,G27)</f>
        <v>11</v>
      </c>
      <c r="M27" s="9">
        <f t="shared" si="5"/>
        <v>220</v>
      </c>
      <c r="N27" s="1"/>
    </row>
    <row r="28" spans="1:28" x14ac:dyDescent="0.2">
      <c r="A28" s="86" t="s">
        <v>101</v>
      </c>
      <c r="B28" s="49" t="s">
        <v>97</v>
      </c>
      <c r="C28" s="33">
        <v>1</v>
      </c>
      <c r="D28" s="33"/>
      <c r="E28" s="33"/>
      <c r="F28" s="33"/>
      <c r="G28" s="33"/>
      <c r="H28" s="33"/>
      <c r="I28" s="33"/>
      <c r="J28" s="33"/>
      <c r="K28" s="14">
        <v>1</v>
      </c>
      <c r="L28" s="22">
        <f>AVERAGE(C28,G28)</f>
        <v>1</v>
      </c>
      <c r="M28" s="9">
        <f>(L28/(0.05*K28))*0.5</f>
        <v>10</v>
      </c>
      <c r="N28" s="1"/>
    </row>
    <row r="29" spans="1:28" x14ac:dyDescent="0.2">
      <c r="A29" s="86"/>
      <c r="B29" s="49" t="s">
        <v>98</v>
      </c>
      <c r="C29" s="33">
        <v>3</v>
      </c>
      <c r="D29" s="33"/>
      <c r="E29" s="33"/>
      <c r="F29" s="33"/>
      <c r="G29" s="33"/>
      <c r="H29" s="33"/>
      <c r="I29" s="33"/>
      <c r="J29" s="33"/>
      <c r="K29" s="14">
        <v>1</v>
      </c>
      <c r="L29" s="22">
        <f t="shared" ref="L29:L30" si="6">AVERAGE(C29,G29)</f>
        <v>3</v>
      </c>
      <c r="M29" s="9">
        <f t="shared" ref="M29:M30" si="7">(L29/(0.05*K29))*0.5</f>
        <v>30</v>
      </c>
      <c r="N29" s="1"/>
    </row>
    <row r="30" spans="1:28" ht="15" customHeight="1" x14ac:dyDescent="0.2">
      <c r="A30" s="86"/>
      <c r="B30" s="49" t="s">
        <v>107</v>
      </c>
      <c r="C30" s="33">
        <v>4</v>
      </c>
      <c r="D30" s="33"/>
      <c r="E30" s="33"/>
      <c r="F30" s="33"/>
      <c r="G30" s="33">
        <v>0</v>
      </c>
      <c r="H30" s="33"/>
      <c r="I30" s="33"/>
      <c r="J30" s="33"/>
      <c r="K30" s="14">
        <v>1</v>
      </c>
      <c r="L30" s="22">
        <f t="shared" si="6"/>
        <v>2</v>
      </c>
      <c r="M30" s="9">
        <f t="shared" si="7"/>
        <v>20</v>
      </c>
      <c r="N30" s="1"/>
    </row>
    <row r="31" spans="1:28" x14ac:dyDescent="0.2">
      <c r="A31" s="50" t="s">
        <v>68</v>
      </c>
      <c r="B31" s="2"/>
      <c r="C31" s="2">
        <v>1</v>
      </c>
      <c r="D31" s="2">
        <f>C31/10</f>
        <v>0.1</v>
      </c>
      <c r="E31" s="2">
        <f>D31/10</f>
        <v>0.01</v>
      </c>
      <c r="F31" s="2">
        <f>E31/10</f>
        <v>1E-3</v>
      </c>
      <c r="G31" s="2">
        <v>1</v>
      </c>
      <c r="H31" s="2">
        <f>G31/10</f>
        <v>0.1</v>
      </c>
      <c r="I31" s="2">
        <f>H31/10</f>
        <v>0.01</v>
      </c>
      <c r="J31" s="2">
        <f>I31/10</f>
        <v>1E-3</v>
      </c>
      <c r="M31" s="1"/>
      <c r="N31" s="1"/>
    </row>
    <row r="32" spans="1:28" x14ac:dyDescent="0.2">
      <c r="A32" s="92" t="s">
        <v>85</v>
      </c>
      <c r="B32" s="92"/>
      <c r="C32" s="92"/>
      <c r="N32" s="1"/>
    </row>
    <row r="33" spans="1:22" x14ac:dyDescent="0.2">
      <c r="N33" s="1"/>
    </row>
    <row r="34" spans="1:22" x14ac:dyDescent="0.2">
      <c r="N34" s="1"/>
    </row>
    <row r="35" spans="1:22" ht="19" x14ac:dyDescent="0.25">
      <c r="A35" s="91" t="s">
        <v>146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</row>
    <row r="36" spans="1:22" x14ac:dyDescent="0.2">
      <c r="A36" s="4" t="s">
        <v>0</v>
      </c>
      <c r="B36" s="4"/>
      <c r="C36" s="89" t="s">
        <v>83</v>
      </c>
      <c r="D36" s="89"/>
      <c r="E36" s="89"/>
      <c r="F36" s="89"/>
      <c r="G36" s="89" t="s">
        <v>84</v>
      </c>
      <c r="H36" s="89"/>
      <c r="I36" s="89"/>
      <c r="J36" s="89"/>
      <c r="P36" s="75" t="s">
        <v>160</v>
      </c>
      <c r="Q36" s="75"/>
      <c r="R36" s="75"/>
      <c r="S36" s="75"/>
      <c r="T36" s="75"/>
      <c r="U36" s="75"/>
    </row>
    <row r="37" spans="1:22" ht="68" x14ac:dyDescent="0.2">
      <c r="A37" s="23"/>
      <c r="B37" s="23" t="s">
        <v>69</v>
      </c>
      <c r="C37" s="23">
        <v>1</v>
      </c>
      <c r="D37" s="23">
        <v>2</v>
      </c>
      <c r="E37" s="23">
        <v>3</v>
      </c>
      <c r="F37" s="26">
        <v>4</v>
      </c>
      <c r="G37" s="23">
        <v>1</v>
      </c>
      <c r="H37" s="23">
        <v>2</v>
      </c>
      <c r="I37" s="23">
        <v>3</v>
      </c>
      <c r="J37" s="26">
        <v>4</v>
      </c>
      <c r="K37" s="27" t="s">
        <v>55</v>
      </c>
      <c r="L37" s="27" t="s">
        <v>72</v>
      </c>
      <c r="M37" s="27" t="s">
        <v>73</v>
      </c>
      <c r="P37" s="2"/>
      <c r="Q37" s="27" t="s">
        <v>75</v>
      </c>
      <c r="R37" s="23" t="s">
        <v>76</v>
      </c>
      <c r="S37" s="27" t="s">
        <v>77</v>
      </c>
      <c r="T37" s="28" t="s">
        <v>121</v>
      </c>
      <c r="U37" s="28" t="s">
        <v>150</v>
      </c>
      <c r="V37" s="28" t="s">
        <v>154</v>
      </c>
    </row>
    <row r="38" spans="1:22" x14ac:dyDescent="0.2">
      <c r="A38" s="85" t="s">
        <v>3</v>
      </c>
      <c r="B38" s="11" t="s">
        <v>61</v>
      </c>
      <c r="C38" s="14" t="s">
        <v>62</v>
      </c>
      <c r="D38" s="14" t="s">
        <v>62</v>
      </c>
      <c r="E38" s="33">
        <v>94</v>
      </c>
      <c r="F38" s="14">
        <v>10</v>
      </c>
      <c r="G38" s="14" t="s">
        <v>62</v>
      </c>
      <c r="H38" s="14" t="s">
        <v>62</v>
      </c>
      <c r="I38" s="33">
        <v>77</v>
      </c>
      <c r="J38" s="14">
        <v>9</v>
      </c>
      <c r="K38" s="14">
        <v>0.01</v>
      </c>
      <c r="L38" s="2">
        <f>AVERAGE(E38,I38)</f>
        <v>85.5</v>
      </c>
      <c r="M38" s="9">
        <f>(L38/(0.01*K38))*0.2</f>
        <v>171000</v>
      </c>
      <c r="O38" s="29">
        <v>1</v>
      </c>
      <c r="P38" s="2" t="s">
        <v>3</v>
      </c>
      <c r="Q38" s="9">
        <f>AVERAGE(M38:M40)</f>
        <v>223666.66666666666</v>
      </c>
      <c r="R38" s="9">
        <f>STDEV(M38:M40)</f>
        <v>83548.389172582669</v>
      </c>
      <c r="S38" s="13">
        <v>4.7177419354838701</v>
      </c>
      <c r="T38" s="2">
        <f>TTEST(M4:M6,M38:M40,2,2)</f>
        <v>7.4226284522409008E-2</v>
      </c>
      <c r="U38" s="62">
        <f>Q38/$Q$4</f>
        <v>2.1999999999999997</v>
      </c>
      <c r="V38" s="62">
        <f>Q38/$Q$38</f>
        <v>1</v>
      </c>
    </row>
    <row r="39" spans="1:22" x14ac:dyDescent="0.2">
      <c r="A39" s="85"/>
      <c r="B39" s="11" t="s">
        <v>63</v>
      </c>
      <c r="C39" s="14" t="s">
        <v>62</v>
      </c>
      <c r="D39" s="14" t="s">
        <v>62</v>
      </c>
      <c r="E39" s="14" t="s">
        <v>62</v>
      </c>
      <c r="F39" s="33">
        <v>15</v>
      </c>
      <c r="G39" s="14" t="s">
        <v>62</v>
      </c>
      <c r="H39" s="14" t="s">
        <v>62</v>
      </c>
      <c r="I39" s="14" t="s">
        <v>62</v>
      </c>
      <c r="J39" s="33">
        <v>17</v>
      </c>
      <c r="K39" s="14">
        <v>1E-3</v>
      </c>
      <c r="L39" s="2">
        <f>AVERAGE(F39,J39)</f>
        <v>16</v>
      </c>
      <c r="M39" s="9">
        <f>(L39/(0.01*K39))*0.2</f>
        <v>320000</v>
      </c>
      <c r="O39" s="29">
        <v>2</v>
      </c>
      <c r="P39" s="2" t="s">
        <v>137</v>
      </c>
      <c r="Q39" s="9">
        <f>AVERAGE(M41:M43)</f>
        <v>12700</v>
      </c>
      <c r="R39" s="9">
        <f>STDEV(M41:M43)</f>
        <v>3080.5843601498727</v>
      </c>
      <c r="S39" s="13">
        <v>3.1874999999999991</v>
      </c>
      <c r="T39" s="18"/>
      <c r="U39" s="62">
        <f>-$Q$4/Q39</f>
        <v>-8.0052493438320216</v>
      </c>
      <c r="V39" s="62">
        <f>-$Q$38/Q39</f>
        <v>-17.611548556430446</v>
      </c>
    </row>
    <row r="40" spans="1:22" x14ac:dyDescent="0.2">
      <c r="A40" s="85"/>
      <c r="B40" s="11" t="s">
        <v>79</v>
      </c>
      <c r="C40" s="14" t="s">
        <v>62</v>
      </c>
      <c r="D40" s="14" t="s">
        <v>62</v>
      </c>
      <c r="E40" s="14" t="s">
        <v>62</v>
      </c>
      <c r="F40" s="33">
        <v>11</v>
      </c>
      <c r="G40" s="14" t="s">
        <v>62</v>
      </c>
      <c r="H40" s="14" t="s">
        <v>62</v>
      </c>
      <c r="I40" s="14" t="s">
        <v>62</v>
      </c>
      <c r="J40" s="33">
        <v>7</v>
      </c>
      <c r="K40" s="14">
        <v>1E-3</v>
      </c>
      <c r="L40" s="2">
        <f>AVERAGE(F40,J40)</f>
        <v>9</v>
      </c>
      <c r="M40" s="9">
        <f>(L40/(0.01*K40))*0.2</f>
        <v>180000</v>
      </c>
      <c r="O40" s="29">
        <v>3</v>
      </c>
      <c r="P40" s="2" t="s">
        <v>138</v>
      </c>
      <c r="Q40" s="9">
        <f>AVERAGE(M44:M46)</f>
        <v>400</v>
      </c>
      <c r="R40" s="9">
        <f>STDEV(M44:M46)</f>
        <v>288.44410203711914</v>
      </c>
      <c r="S40" s="13">
        <v>6.0483870967741922</v>
      </c>
      <c r="T40" s="18"/>
      <c r="U40" s="62">
        <f>-$Q$4/Q40</f>
        <v>-254.16666666666669</v>
      </c>
      <c r="V40" s="62">
        <f t="shared" ref="V40:V41" si="8">-$Q$38/Q40</f>
        <v>-559.16666666666663</v>
      </c>
    </row>
    <row r="41" spans="1:22" x14ac:dyDescent="0.2">
      <c r="A41" s="86" t="s">
        <v>151</v>
      </c>
      <c r="B41" s="49" t="s">
        <v>64</v>
      </c>
      <c r="C41" s="14"/>
      <c r="D41" s="33">
        <v>53</v>
      </c>
      <c r="E41" s="33"/>
      <c r="F41" s="33"/>
      <c r="G41" s="14"/>
      <c r="H41" s="33">
        <v>46</v>
      </c>
      <c r="I41" s="33"/>
      <c r="J41" s="33"/>
      <c r="K41" s="14">
        <v>0.1</v>
      </c>
      <c r="L41" s="22">
        <f>AVERAGE(D41,H41)</f>
        <v>49.5</v>
      </c>
      <c r="M41" s="9">
        <f t="shared" ref="M41:M42" si="9">(L41/(0.01*K41))*0.2</f>
        <v>9900</v>
      </c>
      <c r="O41" s="29">
        <v>5</v>
      </c>
      <c r="P41" s="2" t="s">
        <v>99</v>
      </c>
      <c r="Q41" s="9">
        <f>AVERAGE(M47:M49)</f>
        <v>33.333333333333336</v>
      </c>
      <c r="R41" s="9">
        <f>STDEV(M47:M49)</f>
        <v>5.7735026918962511</v>
      </c>
      <c r="S41" s="13">
        <v>1.6330645161290316</v>
      </c>
      <c r="T41" s="18"/>
      <c r="U41" s="62">
        <f>-$Q$4/Q41</f>
        <v>-3050</v>
      </c>
      <c r="V41" s="62">
        <f t="shared" si="8"/>
        <v>-6709.9999999999991</v>
      </c>
    </row>
    <row r="42" spans="1:22" x14ac:dyDescent="0.2">
      <c r="A42" s="86"/>
      <c r="B42" s="49" t="s">
        <v>65</v>
      </c>
      <c r="C42" s="14"/>
      <c r="D42" s="33">
        <v>58</v>
      </c>
      <c r="E42" s="33"/>
      <c r="F42" s="33"/>
      <c r="G42" s="14"/>
      <c r="H42" s="33">
        <v>64</v>
      </c>
      <c r="I42" s="33"/>
      <c r="J42" s="33"/>
      <c r="K42" s="14">
        <v>0.1</v>
      </c>
      <c r="L42" s="22">
        <f>AVERAGE(D42,H42)</f>
        <v>61</v>
      </c>
      <c r="M42" s="9">
        <f t="shared" si="9"/>
        <v>12200</v>
      </c>
    </row>
    <row r="43" spans="1:22" x14ac:dyDescent="0.2">
      <c r="A43" s="86"/>
      <c r="B43" s="49" t="s">
        <v>80</v>
      </c>
      <c r="C43" s="14"/>
      <c r="D43" s="33">
        <v>80</v>
      </c>
      <c r="E43" s="33">
        <v>7</v>
      </c>
      <c r="F43" s="33"/>
      <c r="G43" s="14"/>
      <c r="H43" s="33"/>
      <c r="I43" s="33">
        <v>7</v>
      </c>
      <c r="J43" s="33"/>
      <c r="K43" s="14">
        <v>0.1</v>
      </c>
      <c r="L43" s="22">
        <f>AVERAGE(D43,H43)</f>
        <v>80</v>
      </c>
      <c r="M43" s="9">
        <f>(L43/(0.01*K43))*0.2</f>
        <v>16000</v>
      </c>
    </row>
    <row r="44" spans="1:22" x14ac:dyDescent="0.2">
      <c r="A44" s="86" t="s">
        <v>135</v>
      </c>
      <c r="B44" s="49" t="s">
        <v>66</v>
      </c>
      <c r="C44" s="33">
        <v>27</v>
      </c>
      <c r="D44" s="14"/>
      <c r="E44" s="14"/>
      <c r="F44" s="33"/>
      <c r="G44" s="33">
        <v>21</v>
      </c>
      <c r="H44" s="14"/>
      <c r="I44" s="14"/>
      <c r="J44" s="33"/>
      <c r="K44" s="14">
        <v>1</v>
      </c>
      <c r="L44" s="2">
        <f>AVERAGE(C44,G44)</f>
        <v>24</v>
      </c>
      <c r="M44" s="9">
        <f>(L44/(0.01*K44))*0.2</f>
        <v>480</v>
      </c>
    </row>
    <row r="45" spans="1:22" x14ac:dyDescent="0.2">
      <c r="A45" s="86"/>
      <c r="B45" s="49" t="s">
        <v>67</v>
      </c>
      <c r="C45" s="33">
        <v>33</v>
      </c>
      <c r="D45" s="33"/>
      <c r="E45" s="33"/>
      <c r="F45" s="33"/>
      <c r="G45" s="33">
        <v>31</v>
      </c>
      <c r="H45" s="33"/>
      <c r="I45" s="33"/>
      <c r="J45" s="33"/>
      <c r="K45" s="14">
        <v>1</v>
      </c>
      <c r="L45" s="2">
        <f>AVERAGE(C45,G45)</f>
        <v>32</v>
      </c>
      <c r="M45" s="9">
        <f t="shared" ref="M45:M46" si="10">(L45/(0.01*K45))*0.2</f>
        <v>640</v>
      </c>
    </row>
    <row r="46" spans="1:22" x14ac:dyDescent="0.2">
      <c r="A46" s="86"/>
      <c r="B46" s="49" t="s">
        <v>81</v>
      </c>
      <c r="C46" s="33">
        <v>5</v>
      </c>
      <c r="D46" s="14"/>
      <c r="E46" s="14"/>
      <c r="F46" s="33"/>
      <c r="G46" s="33">
        <v>3</v>
      </c>
      <c r="H46" s="14"/>
      <c r="I46" s="14"/>
      <c r="J46" s="33"/>
      <c r="K46" s="14">
        <v>1</v>
      </c>
      <c r="L46" s="2">
        <f>AVERAGE(C46,G46)</f>
        <v>4</v>
      </c>
      <c r="M46" s="9">
        <f t="shared" si="10"/>
        <v>80</v>
      </c>
    </row>
    <row r="47" spans="1:22" x14ac:dyDescent="0.2">
      <c r="A47" s="86" t="s">
        <v>101</v>
      </c>
      <c r="B47" s="49" t="s">
        <v>97</v>
      </c>
      <c r="C47" s="33">
        <v>2</v>
      </c>
      <c r="D47" s="33"/>
      <c r="E47" s="33"/>
      <c r="F47" s="33"/>
      <c r="G47" s="33">
        <v>4</v>
      </c>
      <c r="H47" s="33"/>
      <c r="I47" s="33"/>
      <c r="J47" s="33"/>
      <c r="K47" s="14">
        <v>1</v>
      </c>
      <c r="L47" s="22">
        <f>AVERAGE(C47,G47)</f>
        <v>3</v>
      </c>
      <c r="M47" s="9">
        <f>(L47/(0.05*K47))*0.5</f>
        <v>30</v>
      </c>
    </row>
    <row r="48" spans="1:22" x14ac:dyDescent="0.2">
      <c r="A48" s="86"/>
      <c r="B48" s="49" t="s">
        <v>98</v>
      </c>
      <c r="C48" s="33">
        <v>3</v>
      </c>
      <c r="D48" s="33"/>
      <c r="E48" s="33"/>
      <c r="F48" s="33"/>
      <c r="G48" s="33">
        <v>5</v>
      </c>
      <c r="H48" s="33"/>
      <c r="I48" s="33"/>
      <c r="J48" s="33"/>
      <c r="K48" s="14">
        <v>1</v>
      </c>
      <c r="L48" s="22">
        <f t="shared" ref="L48:L49" si="11">AVERAGE(C48,G48)</f>
        <v>4</v>
      </c>
      <c r="M48" s="9">
        <f t="shared" ref="M48:M49" si="12">(L48/(0.05*K48))*0.5</f>
        <v>40</v>
      </c>
    </row>
    <row r="49" spans="1:40" x14ac:dyDescent="0.2">
      <c r="A49" s="86"/>
      <c r="B49" s="49" t="s">
        <v>107</v>
      </c>
      <c r="C49" s="33">
        <v>4</v>
      </c>
      <c r="D49" s="33"/>
      <c r="E49" s="33"/>
      <c r="F49" s="33"/>
      <c r="G49" s="33">
        <v>2</v>
      </c>
      <c r="H49" s="33"/>
      <c r="I49" s="33"/>
      <c r="J49" s="33"/>
      <c r="K49" s="14">
        <v>1</v>
      </c>
      <c r="L49" s="22">
        <f t="shared" si="11"/>
        <v>3</v>
      </c>
      <c r="M49" s="9">
        <f t="shared" si="12"/>
        <v>30</v>
      </c>
    </row>
    <row r="50" spans="1:40" x14ac:dyDescent="0.2">
      <c r="A50" s="50" t="s">
        <v>68</v>
      </c>
      <c r="B50" s="2"/>
      <c r="C50" s="2">
        <v>1</v>
      </c>
      <c r="D50" s="2">
        <f>C50/10</f>
        <v>0.1</v>
      </c>
      <c r="E50" s="2">
        <f>D50/10</f>
        <v>0.01</v>
      </c>
      <c r="F50" s="2">
        <f>E50/10</f>
        <v>1E-3</v>
      </c>
      <c r="G50" s="2">
        <v>1</v>
      </c>
      <c r="H50" s="2">
        <f>G50/10</f>
        <v>0.1</v>
      </c>
      <c r="I50" s="2">
        <f>H50/10</f>
        <v>0.01</v>
      </c>
      <c r="J50" s="2">
        <f>I50/10</f>
        <v>1E-3</v>
      </c>
      <c r="M50" s="1"/>
    </row>
    <row r="51" spans="1:40" x14ac:dyDescent="0.2">
      <c r="A51" s="92" t="s">
        <v>85</v>
      </c>
      <c r="B51" s="92"/>
      <c r="C51" s="92"/>
    </row>
    <row r="52" spans="1:40" ht="51" x14ac:dyDescent="0.2">
      <c r="Q52" s="27" t="s">
        <v>152</v>
      </c>
      <c r="R52" s="23" t="s">
        <v>58</v>
      </c>
      <c r="S52" s="27" t="s">
        <v>153</v>
      </c>
    </row>
    <row r="53" spans="1:40" x14ac:dyDescent="0.2">
      <c r="P53" s="70" t="s">
        <v>3</v>
      </c>
      <c r="Q53" s="62">
        <f>Q38/Q4</f>
        <v>2.1999999999999997</v>
      </c>
      <c r="R53" s="62">
        <f>Q53*SQRT((R4/Q4)^2+(R38/Q38)^2)</f>
        <v>1.0157940062077386</v>
      </c>
      <c r="S53" s="2">
        <f>TTEST(M4:M6,M38:M40,2,2)</f>
        <v>7.4226284522409008E-2</v>
      </c>
      <c r="AN53" s="59"/>
    </row>
    <row r="54" spans="1:40" x14ac:dyDescent="0.2">
      <c r="P54" s="70" t="s">
        <v>137</v>
      </c>
      <c r="Q54" s="62">
        <f>Q39/Q5</f>
        <v>5.4428571428571422</v>
      </c>
      <c r="R54" s="62">
        <f>Q54*SQRT((R5/Q5)^2+(R39/Q39)^2)</f>
        <v>1.4259250707424735</v>
      </c>
      <c r="S54" s="2">
        <f>TTEST(M7:M9,M41:M43,2,2)</f>
        <v>4.3607965916273965E-3</v>
      </c>
    </row>
    <row r="55" spans="1:40" x14ac:dyDescent="0.2">
      <c r="P55" s="70" t="s">
        <v>138</v>
      </c>
      <c r="Q55" s="62">
        <f>Q40/Q6</f>
        <v>3.75</v>
      </c>
      <c r="R55" s="62">
        <f>Q55*SQRT((R6/Q6)^2+(R40/Q40)^2)</f>
        <v>3.3628524879139063</v>
      </c>
      <c r="S55" s="2">
        <f>TTEST(M10:M12,M44:M46,2,2)</f>
        <v>0.15902632351614676</v>
      </c>
    </row>
    <row r="56" spans="1:40" x14ac:dyDescent="0.2">
      <c r="P56" s="2"/>
      <c r="Q56" s="1"/>
    </row>
    <row r="60" spans="1:40" x14ac:dyDescent="0.2">
      <c r="P60" s="2" t="s">
        <v>3</v>
      </c>
    </row>
    <row r="61" spans="1:40" x14ac:dyDescent="0.2">
      <c r="P61" s="2" t="s">
        <v>137</v>
      </c>
    </row>
    <row r="62" spans="1:40" x14ac:dyDescent="0.2">
      <c r="P62" s="2" t="s">
        <v>138</v>
      </c>
    </row>
    <row r="63" spans="1:40" x14ac:dyDescent="0.2">
      <c r="P63" s="2"/>
    </row>
  </sheetData>
  <mergeCells count="25">
    <mergeCell ref="A47:A49"/>
    <mergeCell ref="A51:C51"/>
    <mergeCell ref="P17:U17"/>
    <mergeCell ref="P36:U36"/>
    <mergeCell ref="C36:F36"/>
    <mergeCell ref="G36:J36"/>
    <mergeCell ref="A38:A40"/>
    <mergeCell ref="A41:A43"/>
    <mergeCell ref="A44:A46"/>
    <mergeCell ref="A28:A30"/>
    <mergeCell ref="A32:C32"/>
    <mergeCell ref="A1:M1"/>
    <mergeCell ref="A16:M16"/>
    <mergeCell ref="A35:M35"/>
    <mergeCell ref="C17:F17"/>
    <mergeCell ref="G17:J17"/>
    <mergeCell ref="A19:A21"/>
    <mergeCell ref="A22:A24"/>
    <mergeCell ref="A25:A27"/>
    <mergeCell ref="A10:A12"/>
    <mergeCell ref="P2:U2"/>
    <mergeCell ref="G2:J2"/>
    <mergeCell ref="A4:A6"/>
    <mergeCell ref="A7:A9"/>
    <mergeCell ref="C2:F2"/>
  </mergeCells>
  <pageMargins left="0.75" right="0.75" top="1" bottom="1" header="0.5" footer="0.5"/>
  <pageSetup scale="17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FC96-511D-4F07-A849-4459F95A19A4}">
  <sheetPr>
    <pageSetUpPr fitToPage="1"/>
  </sheetPr>
  <dimension ref="A1:Z34"/>
  <sheetViews>
    <sheetView showRuler="0" zoomScale="130" zoomScaleNormal="130" workbookViewId="0">
      <selection activeCell="C3" sqref="C3"/>
    </sheetView>
  </sheetViews>
  <sheetFormatPr baseColWidth="10" defaultColWidth="10.6640625" defaultRowHeight="16" x14ac:dyDescent="0.2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8.33203125" bestFit="1" customWidth="1"/>
    <col min="7" max="7" width="8.83203125" bestFit="1" customWidth="1"/>
    <col min="8" max="8" width="8.1640625" customWidth="1"/>
    <col min="10" max="10" width="2.1640625" bestFit="1" customWidth="1"/>
    <col min="11" max="11" width="20.83203125" customWidth="1"/>
    <col min="12" max="13" width="8.83203125" bestFit="1" customWidth="1"/>
    <col min="14" max="14" width="7.6640625" bestFit="1" customWidth="1"/>
    <col min="15" max="15" width="7.5" bestFit="1" customWidth="1"/>
    <col min="16" max="16" width="7.33203125" bestFit="1" customWidth="1"/>
  </cols>
  <sheetData>
    <row r="1" spans="1:26" x14ac:dyDescent="0.2">
      <c r="A1" s="4"/>
      <c r="B1" s="4"/>
      <c r="E1" s="4"/>
      <c r="F1" s="4"/>
      <c r="G1" s="24"/>
      <c r="H1" s="24"/>
      <c r="I1" s="24"/>
      <c r="J1" s="24"/>
      <c r="K1" s="30"/>
      <c r="L1" s="30"/>
      <c r="M1" s="31"/>
      <c r="N1" s="31"/>
    </row>
    <row r="2" spans="1:26" ht="51" x14ac:dyDescent="0.2">
      <c r="A2" s="23"/>
      <c r="B2" s="32" t="s">
        <v>69</v>
      </c>
      <c r="C2" s="32" t="s">
        <v>70</v>
      </c>
      <c r="D2" s="32" t="s">
        <v>71</v>
      </c>
      <c r="E2" s="28" t="s">
        <v>55</v>
      </c>
      <c r="F2" s="28" t="s">
        <v>72</v>
      </c>
      <c r="G2" s="28" t="s">
        <v>73</v>
      </c>
      <c r="H2" s="28" t="s">
        <v>74</v>
      </c>
      <c r="J2" s="29" t="s">
        <v>91</v>
      </c>
      <c r="K2" s="2"/>
      <c r="L2" s="27" t="s">
        <v>75</v>
      </c>
      <c r="M2" s="23" t="s">
        <v>76</v>
      </c>
      <c r="N2" s="27" t="s">
        <v>77</v>
      </c>
      <c r="O2" s="32" t="s">
        <v>74</v>
      </c>
      <c r="P2" s="28" t="s">
        <v>78</v>
      </c>
    </row>
    <row r="3" spans="1:26" x14ac:dyDescent="0.2">
      <c r="A3" s="85" t="s">
        <v>3</v>
      </c>
      <c r="B3" s="11" t="s">
        <v>61</v>
      </c>
      <c r="C3" s="33">
        <v>28</v>
      </c>
      <c r="D3" s="33">
        <v>14</v>
      </c>
      <c r="E3" s="14">
        <v>1</v>
      </c>
      <c r="F3" s="22">
        <f t="shared" ref="F3:F14" si="0">AVERAGE(C3,D3)</f>
        <v>21</v>
      </c>
      <c r="G3" s="9">
        <f>(F3/(0.05*E3))*0.2</f>
        <v>84</v>
      </c>
      <c r="H3" s="93"/>
      <c r="I3" s="1"/>
      <c r="J3" s="29">
        <v>1</v>
      </c>
      <c r="K3" s="2" t="s">
        <v>3</v>
      </c>
      <c r="L3" s="9">
        <f>AVERAGE(G3:G5)</f>
        <v>62.666666666666664</v>
      </c>
      <c r="M3" s="9">
        <f>STDEV(G3:G5)</f>
        <v>27.227437142216179</v>
      </c>
      <c r="N3" s="13">
        <v>7.7499999999999982</v>
      </c>
      <c r="O3" s="61"/>
      <c r="P3" s="62"/>
      <c r="Q3" s="36"/>
      <c r="S3" s="1"/>
      <c r="U3" s="1"/>
      <c r="V3" s="1"/>
      <c r="W3" s="1"/>
      <c r="X3" s="1"/>
      <c r="Y3" s="1"/>
      <c r="Z3" s="1"/>
    </row>
    <row r="4" spans="1:26" x14ac:dyDescent="0.2">
      <c r="A4" s="85"/>
      <c r="B4" s="11" t="s">
        <v>63</v>
      </c>
      <c r="C4" s="33">
        <v>26</v>
      </c>
      <c r="D4" s="33">
        <v>10</v>
      </c>
      <c r="E4" s="14">
        <v>1</v>
      </c>
      <c r="F4" s="22">
        <f t="shared" si="0"/>
        <v>18</v>
      </c>
      <c r="G4" s="9">
        <f t="shared" ref="G4:G14" si="1">(F4/(0.05*E4))*0.2</f>
        <v>72</v>
      </c>
      <c r="H4" s="93"/>
      <c r="J4" s="29">
        <v>2</v>
      </c>
      <c r="K4" s="2" t="s">
        <v>137</v>
      </c>
      <c r="L4" s="9">
        <f>AVERAGE(G6:G8)</f>
        <v>43.333333333333336</v>
      </c>
      <c r="M4" s="9">
        <f>STDEV(G6:G8)</f>
        <v>9.865765724632503</v>
      </c>
      <c r="N4" s="13">
        <v>5.5875000000000004</v>
      </c>
      <c r="O4" s="61">
        <f>H6</f>
        <v>0.31191404794994804</v>
      </c>
      <c r="P4" s="62">
        <f>IF(L4/$L$3&gt;=1,L4/$L$3,-$L$3/L4)</f>
        <v>-1.4461538461538461</v>
      </c>
      <c r="Q4" s="36"/>
    </row>
    <row r="5" spans="1:26" x14ac:dyDescent="0.2">
      <c r="A5" s="85"/>
      <c r="B5" s="11" t="s">
        <v>79</v>
      </c>
      <c r="C5" s="33">
        <v>5</v>
      </c>
      <c r="D5" s="33">
        <v>11</v>
      </c>
      <c r="E5" s="14">
        <v>1</v>
      </c>
      <c r="F5" s="22">
        <f t="shared" si="0"/>
        <v>8</v>
      </c>
      <c r="G5" s="9">
        <f t="shared" si="1"/>
        <v>32</v>
      </c>
      <c r="H5" s="93"/>
      <c r="J5" s="29">
        <v>3</v>
      </c>
      <c r="K5" s="2" t="s">
        <v>138</v>
      </c>
      <c r="L5" s="9">
        <f>AVERAGE(G9:G11)</f>
        <v>76.666666666666671</v>
      </c>
      <c r="M5" s="9">
        <f>STDEV(G9:G11)</f>
        <v>13.012814197295446</v>
      </c>
      <c r="N5" s="13">
        <v>8.9166666666666661</v>
      </c>
      <c r="O5" s="61">
        <f>H9</f>
        <v>0.46669657930647496</v>
      </c>
      <c r="P5" s="62">
        <f t="shared" ref="P5:P6" si="2">IF(L5/$L$3&gt;=1,L5/$L$3,-$L$3/L5)</f>
        <v>1.2234042553191491</v>
      </c>
      <c r="Q5" s="36"/>
    </row>
    <row r="6" spans="1:26" ht="15" customHeight="1" x14ac:dyDescent="0.2">
      <c r="A6" s="86" t="s">
        <v>136</v>
      </c>
      <c r="B6" s="11" t="s">
        <v>64</v>
      </c>
      <c r="C6" s="33">
        <v>15</v>
      </c>
      <c r="D6" s="33">
        <v>10</v>
      </c>
      <c r="E6" s="14">
        <v>1</v>
      </c>
      <c r="F6" s="2">
        <f t="shared" si="0"/>
        <v>12.5</v>
      </c>
      <c r="G6" s="9">
        <f t="shared" si="1"/>
        <v>50</v>
      </c>
      <c r="H6" s="93">
        <f>TTEST(G6:G8,G$3:G$5,2,2)</f>
        <v>0.31191404794994804</v>
      </c>
      <c r="J6" s="29">
        <v>5</v>
      </c>
      <c r="K6" s="2" t="s">
        <v>99</v>
      </c>
      <c r="L6" s="9">
        <f>AVERAGE(G12:G14)</f>
        <v>38</v>
      </c>
      <c r="M6" s="9">
        <f>STDEV(G12:G14)</f>
        <v>19.078784028338912</v>
      </c>
      <c r="N6" s="13">
        <v>5.3333333333333339</v>
      </c>
      <c r="O6" s="61">
        <f>H12</f>
        <v>0.26813320654192313</v>
      </c>
      <c r="P6" s="62">
        <f t="shared" si="2"/>
        <v>-1.6491228070175439</v>
      </c>
      <c r="Q6" s="36"/>
    </row>
    <row r="7" spans="1:26" ht="15" customHeight="1" x14ac:dyDescent="0.2">
      <c r="A7" s="86"/>
      <c r="B7" s="11" t="s">
        <v>65</v>
      </c>
      <c r="C7" s="33">
        <v>8</v>
      </c>
      <c r="D7" s="33">
        <v>16</v>
      </c>
      <c r="E7" s="14">
        <v>1</v>
      </c>
      <c r="F7" s="2">
        <f t="shared" si="0"/>
        <v>12</v>
      </c>
      <c r="G7" s="9">
        <f t="shared" si="1"/>
        <v>48</v>
      </c>
      <c r="H7" s="93"/>
      <c r="K7" s="37"/>
      <c r="L7" s="1"/>
      <c r="M7" s="1"/>
      <c r="O7" s="39"/>
      <c r="P7" s="38"/>
      <c r="Q7" s="36"/>
    </row>
    <row r="8" spans="1:26" x14ac:dyDescent="0.2">
      <c r="A8" s="86"/>
      <c r="B8" s="11" t="s">
        <v>80</v>
      </c>
      <c r="C8" s="33">
        <v>10</v>
      </c>
      <c r="D8" s="33">
        <v>6</v>
      </c>
      <c r="E8" s="14">
        <v>1</v>
      </c>
      <c r="F8" s="2">
        <f t="shared" si="0"/>
        <v>8</v>
      </c>
      <c r="G8" s="9">
        <f t="shared" si="1"/>
        <v>32</v>
      </c>
      <c r="H8" s="93"/>
      <c r="K8" s="37"/>
      <c r="L8" s="1"/>
      <c r="M8" s="1"/>
      <c r="O8" s="39"/>
      <c r="P8" s="38"/>
      <c r="Q8" s="36"/>
    </row>
    <row r="9" spans="1:26" ht="15" customHeight="1" x14ac:dyDescent="0.2">
      <c r="A9" s="86" t="s">
        <v>135</v>
      </c>
      <c r="B9" s="11" t="s">
        <v>66</v>
      </c>
      <c r="C9" s="33">
        <v>17</v>
      </c>
      <c r="D9" s="33">
        <v>21</v>
      </c>
      <c r="E9" s="14">
        <v>1</v>
      </c>
      <c r="F9" s="2">
        <f t="shared" ref="F9:F11" si="3">AVERAGE(C9,D9)</f>
        <v>19</v>
      </c>
      <c r="G9" s="9">
        <f t="shared" ref="G9:G11" si="4">(F9/(0.05*E9))*0.2</f>
        <v>76</v>
      </c>
      <c r="H9" s="93">
        <f>TTEST(G9:G11,G$3:G$5,2,2)</f>
        <v>0.46669657930647496</v>
      </c>
      <c r="Q9" s="36"/>
    </row>
    <row r="10" spans="1:26" x14ac:dyDescent="0.2">
      <c r="A10" s="86"/>
      <c r="B10" s="11" t="s">
        <v>67</v>
      </c>
      <c r="C10" s="33">
        <v>21</v>
      </c>
      <c r="D10" s="33">
        <v>24</v>
      </c>
      <c r="E10" s="14">
        <v>1</v>
      </c>
      <c r="F10" s="2">
        <f t="shared" si="3"/>
        <v>22.5</v>
      </c>
      <c r="G10" s="9">
        <f t="shared" si="4"/>
        <v>90</v>
      </c>
      <c r="H10" s="93"/>
      <c r="K10" s="37"/>
      <c r="L10" s="1"/>
      <c r="M10" s="1"/>
      <c r="O10" s="39"/>
      <c r="P10" s="38"/>
      <c r="Q10" s="36"/>
    </row>
    <row r="11" spans="1:26" ht="15" customHeight="1" x14ac:dyDescent="0.2">
      <c r="A11" s="86"/>
      <c r="B11" s="11" t="s">
        <v>81</v>
      </c>
      <c r="C11" s="33">
        <v>20</v>
      </c>
      <c r="D11" s="33">
        <v>12</v>
      </c>
      <c r="E11" s="14">
        <v>1</v>
      </c>
      <c r="F11" s="2">
        <f t="shared" si="3"/>
        <v>16</v>
      </c>
      <c r="G11" s="9">
        <f t="shared" si="4"/>
        <v>64</v>
      </c>
      <c r="H11" s="93"/>
      <c r="K11" s="37"/>
      <c r="L11" s="1"/>
      <c r="M11" s="1"/>
      <c r="O11" s="39"/>
      <c r="P11" s="38"/>
      <c r="Q11" s="36"/>
    </row>
    <row r="12" spans="1:26" ht="15" customHeight="1" x14ac:dyDescent="0.2">
      <c r="A12" s="86" t="s">
        <v>100</v>
      </c>
      <c r="B12" s="11" t="s">
        <v>97</v>
      </c>
      <c r="C12" s="33">
        <v>19</v>
      </c>
      <c r="D12" s="33">
        <v>11</v>
      </c>
      <c r="E12" s="14">
        <v>1</v>
      </c>
      <c r="F12" s="2">
        <f t="shared" si="0"/>
        <v>15</v>
      </c>
      <c r="G12" s="9">
        <f t="shared" si="1"/>
        <v>60</v>
      </c>
      <c r="H12" s="93">
        <f>TTEST(G12:G14,G$3:G$5,2,2)</f>
        <v>0.26813320654192313</v>
      </c>
      <c r="Q12" s="36"/>
    </row>
    <row r="13" spans="1:26" x14ac:dyDescent="0.2">
      <c r="A13" s="86"/>
      <c r="B13" s="11" t="s">
        <v>98</v>
      </c>
      <c r="C13" s="33">
        <v>4</v>
      </c>
      <c r="D13" s="33">
        <v>9</v>
      </c>
      <c r="E13" s="14">
        <v>1</v>
      </c>
      <c r="F13" s="2">
        <f t="shared" si="0"/>
        <v>6.5</v>
      </c>
      <c r="G13" s="9">
        <f t="shared" si="1"/>
        <v>26</v>
      </c>
      <c r="H13" s="93"/>
      <c r="K13" s="37"/>
      <c r="L13" s="1"/>
      <c r="M13" s="1"/>
      <c r="O13" s="39"/>
      <c r="P13" s="38"/>
      <c r="Q13" s="36"/>
    </row>
    <row r="14" spans="1:26" ht="15" customHeight="1" x14ac:dyDescent="0.2">
      <c r="A14" s="86"/>
      <c r="B14" s="11" t="s">
        <v>107</v>
      </c>
      <c r="C14" s="33">
        <v>7</v>
      </c>
      <c r="D14" s="33">
        <v>7</v>
      </c>
      <c r="E14" s="14">
        <v>1</v>
      </c>
      <c r="F14" s="2">
        <f t="shared" si="0"/>
        <v>7</v>
      </c>
      <c r="G14" s="9">
        <f t="shared" si="1"/>
        <v>28</v>
      </c>
      <c r="H14" s="93"/>
      <c r="K14" s="37"/>
      <c r="L14" s="1"/>
      <c r="M14" s="1"/>
      <c r="O14" s="39"/>
      <c r="P14" s="38"/>
      <c r="Q14" s="36"/>
    </row>
    <row r="15" spans="1:26" ht="15" customHeight="1" x14ac:dyDescent="0.2">
      <c r="A15" s="34" t="s">
        <v>82</v>
      </c>
      <c r="H15" s="1"/>
      <c r="Q15" s="36"/>
    </row>
    <row r="16" spans="1:26" x14ac:dyDescent="0.2">
      <c r="K16" s="37"/>
      <c r="L16" s="1"/>
      <c r="M16" s="1"/>
      <c r="O16" s="39"/>
      <c r="P16" s="38"/>
      <c r="Q16" s="36"/>
    </row>
    <row r="17" spans="9:26" ht="15" customHeight="1" x14ac:dyDescent="0.2">
      <c r="K17" s="37"/>
      <c r="L17" s="1"/>
      <c r="M17" s="1"/>
      <c r="O17" s="39"/>
      <c r="P17" s="38"/>
      <c r="Q17" s="36"/>
    </row>
    <row r="18" spans="9:26" ht="15" customHeight="1" x14ac:dyDescent="0.2">
      <c r="Q18" s="36"/>
    </row>
    <row r="19" spans="9:26" x14ac:dyDescent="0.2">
      <c r="Q19" s="36"/>
    </row>
    <row r="20" spans="9:26" ht="15" customHeight="1" x14ac:dyDescent="0.2">
      <c r="J20" s="1"/>
      <c r="K20" s="1"/>
      <c r="Q20" s="36"/>
    </row>
    <row r="21" spans="9:26" ht="16" customHeight="1" x14ac:dyDescent="0.2">
      <c r="Q21" s="36"/>
    </row>
    <row r="22" spans="9:26" ht="15" customHeight="1" x14ac:dyDescent="0.2"/>
    <row r="23" spans="9:26" x14ac:dyDescent="0.2">
      <c r="S23" s="1"/>
      <c r="U23" s="1"/>
      <c r="V23" s="1"/>
    </row>
    <row r="24" spans="9:26" ht="16" customHeight="1" x14ac:dyDescent="0.2">
      <c r="I24" s="1"/>
      <c r="W24" s="1"/>
      <c r="X24" s="1"/>
      <c r="Y24" s="1"/>
      <c r="Z24" s="1"/>
    </row>
    <row r="27" spans="9:26" ht="15" customHeight="1" x14ac:dyDescent="0.2"/>
    <row r="28" spans="9:26" ht="15" customHeight="1" x14ac:dyDescent="0.2"/>
    <row r="30" spans="9:26" ht="15" customHeight="1" x14ac:dyDescent="0.2"/>
    <row r="32" spans="9:26" ht="15" customHeight="1" x14ac:dyDescent="0.2"/>
    <row r="34" ht="15" customHeight="1" x14ac:dyDescent="0.2"/>
  </sheetData>
  <mergeCells count="8">
    <mergeCell ref="A3:A5"/>
    <mergeCell ref="H3:H5"/>
    <mergeCell ref="A6:A8"/>
    <mergeCell ref="H6:H8"/>
    <mergeCell ref="A12:A14"/>
    <mergeCell ref="H12:H14"/>
    <mergeCell ref="A9:A11"/>
    <mergeCell ref="H9:H11"/>
  </mergeCells>
  <pageMargins left="0.75" right="0.75" top="1" bottom="1" header="0.5" footer="0.5"/>
  <pageSetup scale="56"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304E3-B345-FB46-AE4F-7C642F414EA9}">
  <dimension ref="F7:O21"/>
  <sheetViews>
    <sheetView workbookViewId="0">
      <selection activeCell="I11" sqref="I11"/>
    </sheetView>
  </sheetViews>
  <sheetFormatPr baseColWidth="10" defaultRowHeight="16" x14ac:dyDescent="0.2"/>
  <cols>
    <col min="6" max="6" width="20.1640625" bestFit="1" customWidth="1"/>
  </cols>
  <sheetData>
    <row r="7" spans="6:12" x14ac:dyDescent="0.2">
      <c r="G7">
        <v>210603</v>
      </c>
      <c r="H7">
        <v>191118</v>
      </c>
      <c r="I7">
        <v>190821</v>
      </c>
    </row>
    <row r="8" spans="6:12" ht="34" x14ac:dyDescent="0.2">
      <c r="F8" s="2"/>
      <c r="G8" s="27" t="s">
        <v>102</v>
      </c>
      <c r="J8" t="s">
        <v>88</v>
      </c>
      <c r="K8" t="s">
        <v>108</v>
      </c>
      <c r="L8" t="s">
        <v>109</v>
      </c>
    </row>
    <row r="9" spans="6:12" x14ac:dyDescent="0.2">
      <c r="F9" s="2" t="s">
        <v>3</v>
      </c>
      <c r="G9" s="13">
        <v>416.32231404958679</v>
      </c>
      <c r="H9" s="63">
        <v>825.17482517482529</v>
      </c>
      <c r="I9" s="36">
        <v>361.22448979591837</v>
      </c>
      <c r="J9" s="36">
        <f>AVERAGE(G9:I9)</f>
        <v>534.24054300677676</v>
      </c>
      <c r="K9">
        <f>STDEV(G9:I9)</f>
        <v>253.45810297729747</v>
      </c>
      <c r="L9">
        <f>TTEST(G9:I9,G$9:I$9,2,2)</f>
        <v>1</v>
      </c>
    </row>
    <row r="10" spans="6:12" x14ac:dyDescent="0.2">
      <c r="F10" s="2" t="s">
        <v>95</v>
      </c>
      <c r="G10" s="13">
        <v>86.686390532544365</v>
      </c>
      <c r="H10" s="63">
        <v>303.42465753424659</v>
      </c>
      <c r="I10" s="36">
        <v>51.590909090909093</v>
      </c>
      <c r="J10" s="36">
        <f>AVERAGE(G10:I10)</f>
        <v>147.23398571923335</v>
      </c>
      <c r="K10">
        <f>STDEV(G10:I10)</f>
        <v>136.39856185430961</v>
      </c>
      <c r="L10">
        <f>TTEST(G10:I10,G$9:I$9,2,2)</f>
        <v>8.0351956919841663E-2</v>
      </c>
    </row>
    <row r="11" spans="6:12" x14ac:dyDescent="0.2">
      <c r="F11" s="2" t="s">
        <v>96</v>
      </c>
      <c r="G11" s="13">
        <v>588.43537414965988</v>
      </c>
      <c r="H11" s="63">
        <v>527.58620689655174</v>
      </c>
      <c r="I11" s="36">
        <v>2215.6862745098038</v>
      </c>
      <c r="J11" s="36">
        <f>AVERAGE(G11:I11)</f>
        <v>1110.5692851853385</v>
      </c>
      <c r="K11">
        <f>STDEV(G11:I11)</f>
        <v>957.54285823613486</v>
      </c>
      <c r="L11">
        <f>TTEST(G11:I11,G$9:I$9,2,2)</f>
        <v>0.37057178001484059</v>
      </c>
    </row>
    <row r="12" spans="6:12" x14ac:dyDescent="0.2">
      <c r="F12" s="2"/>
      <c r="G12" s="13"/>
    </row>
    <row r="13" spans="6:12" x14ac:dyDescent="0.2">
      <c r="F13" s="2"/>
      <c r="G13" s="13"/>
    </row>
    <row r="16" spans="6:12" ht="51" x14ac:dyDescent="0.2">
      <c r="G16" s="27" t="s">
        <v>110</v>
      </c>
      <c r="H16" s="28" t="s">
        <v>111</v>
      </c>
      <c r="K16" s="65" t="s">
        <v>103</v>
      </c>
    </row>
    <row r="17" spans="6:15" x14ac:dyDescent="0.2">
      <c r="F17" s="2"/>
      <c r="G17" s="4">
        <v>210603</v>
      </c>
      <c r="K17" s="65" t="s">
        <v>112</v>
      </c>
      <c r="N17" s="4">
        <v>191118</v>
      </c>
      <c r="O17" s="4">
        <v>190821</v>
      </c>
    </row>
    <row r="18" spans="6:15" x14ac:dyDescent="0.2">
      <c r="F18" s="2" t="s">
        <v>3</v>
      </c>
      <c r="G18" s="13">
        <v>152.70499594064316</v>
      </c>
      <c r="H18" s="66">
        <v>131.5391017</v>
      </c>
      <c r="K18" s="65" t="s">
        <v>113</v>
      </c>
      <c r="L18" s="66">
        <v>147.83021890000001</v>
      </c>
      <c r="N18" s="63">
        <v>137.14853260000001</v>
      </c>
      <c r="O18" s="36"/>
    </row>
    <row r="19" spans="6:15" x14ac:dyDescent="0.2">
      <c r="F19" s="2" t="s">
        <v>95</v>
      </c>
      <c r="G19" s="13">
        <v>206.40357599160433</v>
      </c>
      <c r="H19" s="66">
        <v>169.1624228</v>
      </c>
      <c r="K19" s="65" t="s">
        <v>114</v>
      </c>
      <c r="N19" s="63">
        <v>161.15705149999999</v>
      </c>
      <c r="O19" s="36"/>
    </row>
    <row r="20" spans="6:15" x14ac:dyDescent="0.2">
      <c r="F20" s="2" t="s">
        <v>96</v>
      </c>
      <c r="G20" s="13">
        <v>144.42003727635083</v>
      </c>
      <c r="H20" s="66">
        <v>147.09615160000001</v>
      </c>
      <c r="K20" s="65" t="s">
        <v>115</v>
      </c>
      <c r="L20" s="66">
        <v>186.53617840000001</v>
      </c>
      <c r="N20" s="64">
        <v>146.9349</v>
      </c>
      <c r="O20" s="36"/>
    </row>
    <row r="21" spans="6:15" x14ac:dyDescent="0.2">
      <c r="K21" s="36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PlateSetup</vt:lpstr>
      <vt:lpstr>PlatePlanning</vt:lpstr>
      <vt:lpstr>BacteriaCalcs</vt:lpstr>
      <vt:lpstr>Inoculum</vt:lpstr>
      <vt:lpstr>T=24</vt:lpstr>
      <vt:lpstr>NOT DONE</vt:lpstr>
      <vt:lpstr>combined_assays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2022-08-15T20:13:37Z</cp:lastPrinted>
  <dcterms:created xsi:type="dcterms:W3CDTF">2019-06-17T19:44:26Z</dcterms:created>
  <dcterms:modified xsi:type="dcterms:W3CDTF">2023-01-08T14:00:03Z</dcterms:modified>
</cp:coreProperties>
</file>