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Macrophage/"/>
    </mc:Choice>
  </mc:AlternateContent>
  <xr:revisionPtr revIDLastSave="0" documentId="13_ncr:1_{F8844C70-7CD6-9745-BD49-AA082779AE6E}" xr6:coauthVersionLast="47" xr6:coauthVersionMax="47" xr10:uidLastSave="{00000000-0000-0000-0000-000000000000}"/>
  <bookViews>
    <workbookView xWindow="6180" yWindow="500" windowWidth="24880" windowHeight="20080" activeTab="5" xr2:uid="{205ACA2F-8ED2-DB48-97DD-6C35F8214E47}"/>
  </bookViews>
  <sheets>
    <sheet name="PlateSetup" sheetId="6" r:id="rId1"/>
    <sheet name="PlatePlanning" sheetId="1" r:id="rId2"/>
    <sheet name="BacteriaCalcs" sheetId="2" r:id="rId3"/>
    <sheet name="Inoculum" sheetId="3" r:id="rId4"/>
    <sheet name="T=2" sheetId="4" r:id="rId5"/>
    <sheet name="T=24" sheetId="5" r:id="rId6"/>
    <sheet name="combined_assays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5" l="1"/>
  <c r="T7" i="5"/>
  <c r="T4" i="5"/>
  <c r="J17" i="5"/>
  <c r="K17" i="5" s="1"/>
  <c r="J18" i="5"/>
  <c r="K18" i="5" s="1"/>
  <c r="J16" i="5"/>
  <c r="K16" i="5" s="1"/>
  <c r="J13" i="5"/>
  <c r="J14" i="5"/>
  <c r="J15" i="5"/>
  <c r="J11" i="5"/>
  <c r="J10" i="5"/>
  <c r="K10" i="5" s="1"/>
  <c r="O3" i="3"/>
  <c r="M12" i="3"/>
  <c r="I12" i="3"/>
  <c r="I7" i="3"/>
  <c r="H6" i="3"/>
  <c r="H9" i="3"/>
  <c r="H10" i="3"/>
  <c r="H11" i="3"/>
  <c r="H12" i="3"/>
  <c r="H13" i="3"/>
  <c r="H14" i="3"/>
  <c r="R15" i="2"/>
  <c r="R16" i="2"/>
  <c r="R17" i="2"/>
  <c r="R18" i="2"/>
  <c r="R14" i="2"/>
  <c r="Q15" i="2"/>
  <c r="Q16" i="2"/>
  <c r="Q17" i="2"/>
  <c r="Q18" i="2"/>
  <c r="Q14" i="2"/>
  <c r="O14" i="2"/>
  <c r="O15" i="2"/>
  <c r="O16" i="2"/>
  <c r="O17" i="2"/>
  <c r="O18" i="2"/>
  <c r="AG12" i="6"/>
  <c r="AG13" i="6" s="1"/>
  <c r="AG14" i="6" s="1"/>
  <c r="AA9" i="6" s="1"/>
  <c r="AA10" i="6" s="1"/>
  <c r="AG4" i="6"/>
  <c r="AG5" i="6" s="1"/>
  <c r="AG6" i="6" s="1"/>
  <c r="AA6" i="6" s="1"/>
  <c r="F12" i="1"/>
  <c r="C10" i="1"/>
  <c r="B10" i="1"/>
  <c r="C7" i="1"/>
  <c r="J9" i="5"/>
  <c r="K9" i="5" s="1"/>
  <c r="P8" i="5" l="1"/>
  <c r="O8" i="5"/>
  <c r="T8" i="5" s="1"/>
  <c r="K11" i="5"/>
  <c r="J6" i="5"/>
  <c r="K6" i="5" s="1"/>
  <c r="Q3" i="6"/>
  <c r="Q5" i="6" s="1"/>
  <c r="Q7" i="6" s="1"/>
  <c r="J4" i="5"/>
  <c r="K4" i="5" s="1"/>
  <c r="K12" i="5"/>
  <c r="H26" i="1"/>
  <c r="B29" i="1"/>
  <c r="C29" i="1" s="1"/>
  <c r="D29" i="1" s="1"/>
  <c r="G26" i="1"/>
  <c r="H23" i="1"/>
  <c r="G22" i="1"/>
  <c r="G24" i="1" s="1"/>
  <c r="H21" i="1"/>
  <c r="H24" i="1" s="1"/>
  <c r="C26" i="1"/>
  <c r="B27" i="1" s="1"/>
  <c r="I27" i="1" s="1"/>
  <c r="B26" i="1"/>
  <c r="L11" i="7"/>
  <c r="L10" i="7"/>
  <c r="L9" i="7"/>
  <c r="K10" i="7"/>
  <c r="K11" i="7"/>
  <c r="K9" i="7"/>
  <c r="J10" i="7"/>
  <c r="J11" i="7"/>
  <c r="J9" i="7"/>
  <c r="G27" i="1"/>
  <c r="J5" i="5"/>
  <c r="K5" i="5" s="1"/>
  <c r="H4" i="3"/>
  <c r="H3" i="3"/>
  <c r="B37" i="1"/>
  <c r="B38" i="1" s="1"/>
  <c r="B34" i="1"/>
  <c r="B35" i="1" s="1"/>
  <c r="C11" i="1"/>
  <c r="B9" i="1"/>
  <c r="K14" i="5"/>
  <c r="K15" i="5"/>
  <c r="K13" i="5"/>
  <c r="J8" i="5"/>
  <c r="K8" i="5" s="1"/>
  <c r="J7" i="5"/>
  <c r="K7" i="5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H7" i="3"/>
  <c r="H8" i="3"/>
  <c r="H5" i="3"/>
  <c r="J5" i="3" s="1"/>
  <c r="L5" i="3" s="1"/>
  <c r="C20" i="3" s="1"/>
  <c r="F11" i="1"/>
  <c r="F3" i="4"/>
  <c r="G3" i="4" s="1"/>
  <c r="L3" i="4" s="1"/>
  <c r="F4" i="4"/>
  <c r="G4" i="4" s="1"/>
  <c r="F5" i="4"/>
  <c r="G5" i="4" s="1"/>
  <c r="F6" i="4"/>
  <c r="G6" i="4" s="1"/>
  <c r="G19" i="5"/>
  <c r="H19" i="5"/>
  <c r="D19" i="5"/>
  <c r="E19" i="5"/>
  <c r="K12" i="3"/>
  <c r="AA4" i="6"/>
  <c r="AA7" i="6" s="1"/>
  <c r="AA8" i="6" s="1"/>
  <c r="Q9" i="6"/>
  <c r="F17" i="4"/>
  <c r="G17" i="4" s="1"/>
  <c r="F16" i="4"/>
  <c r="G16" i="4" s="1"/>
  <c r="F15" i="4"/>
  <c r="G15" i="4" s="1"/>
  <c r="F8" i="4"/>
  <c r="G8" i="4" s="1"/>
  <c r="F7" i="4"/>
  <c r="G7" i="4" s="1"/>
  <c r="E15" i="3"/>
  <c r="F15" i="3" s="1"/>
  <c r="D37" i="1"/>
  <c r="D38" i="1"/>
  <c r="D34" i="1"/>
  <c r="D35" i="1"/>
  <c r="Y32" i="1"/>
  <c r="Y31" i="1"/>
  <c r="Y30" i="1"/>
  <c r="P6" i="4" l="1"/>
  <c r="R8" i="5"/>
  <c r="O4" i="5"/>
  <c r="P4" i="5"/>
  <c r="P7" i="5"/>
  <c r="O7" i="5"/>
  <c r="S7" i="5" s="1"/>
  <c r="R7" i="5"/>
  <c r="R6" i="5"/>
  <c r="P6" i="5"/>
  <c r="O6" i="5"/>
  <c r="T6" i="5" s="1"/>
  <c r="P5" i="5"/>
  <c r="O5" i="5"/>
  <c r="R5" i="5"/>
  <c r="J12" i="3"/>
  <c r="L12" i="3" s="1"/>
  <c r="C23" i="3" s="1"/>
  <c r="K7" i="3"/>
  <c r="B21" i="3" s="1"/>
  <c r="I3" i="3"/>
  <c r="K3" i="3" s="1"/>
  <c r="B19" i="3" s="1"/>
  <c r="B24" i="1"/>
  <c r="B11" i="1"/>
  <c r="B12" i="1" s="1"/>
  <c r="C24" i="1"/>
  <c r="M7" i="4"/>
  <c r="H15" i="4"/>
  <c r="O7" i="4" s="1"/>
  <c r="H6" i="4"/>
  <c r="O4" i="4" s="1"/>
  <c r="M6" i="4"/>
  <c r="H12" i="4"/>
  <c r="O6" i="4" s="1"/>
  <c r="H9" i="4"/>
  <c r="O5" i="4" s="1"/>
  <c r="L5" i="4"/>
  <c r="P5" i="4" s="1"/>
  <c r="M5" i="4"/>
  <c r="L4" i="4"/>
  <c r="P4" i="4" s="1"/>
  <c r="M4" i="4"/>
  <c r="M3" i="4"/>
  <c r="L6" i="4"/>
  <c r="L7" i="4"/>
  <c r="P7" i="4" s="1"/>
  <c r="I10" i="3"/>
  <c r="K10" i="3" s="1"/>
  <c r="M10" i="3" s="1"/>
  <c r="D22" i="3" s="1"/>
  <c r="J7" i="3"/>
  <c r="L7" i="3" s="1"/>
  <c r="C21" i="3" s="1"/>
  <c r="I5" i="3"/>
  <c r="K5" i="3" s="1"/>
  <c r="M5" i="3" s="1"/>
  <c r="D20" i="3" s="1"/>
  <c r="M7" i="3"/>
  <c r="D21" i="3" s="1"/>
  <c r="D23" i="3"/>
  <c r="B23" i="3"/>
  <c r="J10" i="3"/>
  <c r="L10" i="3" s="1"/>
  <c r="C22" i="3" s="1"/>
  <c r="J3" i="3"/>
  <c r="L3" i="3" s="1"/>
  <c r="C19" i="3" s="1"/>
  <c r="AE5" i="5" l="1"/>
  <c r="T5" i="5"/>
  <c r="S6" i="5"/>
  <c r="S5" i="5"/>
  <c r="S4" i="5"/>
  <c r="S8" i="5"/>
  <c r="AE6" i="5"/>
  <c r="M3" i="3"/>
  <c r="D19" i="3" s="1"/>
  <c r="AE8" i="5"/>
  <c r="AE7" i="5"/>
  <c r="B22" i="3"/>
  <c r="B20" i="3"/>
  <c r="AE4" i="5" l="1"/>
</calcChain>
</file>

<file path=xl/sharedStrings.xml><?xml version="1.0" encoding="utf-8"?>
<sst xmlns="http://schemas.openxmlformats.org/spreadsheetml/2006/main" count="312" uniqueCount="154">
  <si>
    <t xml:space="preserve"> </t>
  </si>
  <si>
    <t>Macrophage Calculations</t>
  </si>
  <si>
    <t>A</t>
  </si>
  <si>
    <t>LVS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</si>
  <si>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</si>
  <si>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</si>
  <si>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</si>
  <si>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</si>
  <si>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</si>
  <si>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</si>
  <si>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</si>
  <si>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</si>
  <si>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</si>
  <si>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</si>
  <si>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</si>
  <si>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</si>
  <si>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</si>
  <si>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</si>
  <si>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</si>
  <si>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</si>
  <si>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Use</t>
  </si>
  <si>
    <t>Round</t>
  </si>
  <si>
    <t>Square</t>
  </si>
  <si>
    <t>Notes</t>
  </si>
  <si>
    <t>Patch strains for infections</t>
  </si>
  <si>
    <t>Plate inoculumns</t>
  </si>
  <si>
    <t>Bacterial Calculations</t>
  </si>
  <si>
    <t>Actual</t>
  </si>
  <si>
    <t>Timepoint 2 hours</t>
  </si>
  <si>
    <t>MOI</t>
  </si>
  <si>
    <t>Timepoint 24 hours</t>
  </si>
  <si>
    <t>Macrophage cells per well</t>
  </si>
  <si>
    <t>Total plates</t>
  </si>
  <si>
    <t>Volume bacteria to add (mL)</t>
  </si>
  <si>
    <t>Flasks of 600 mL CHA</t>
  </si>
  <si>
    <t>Round plates: 24 mL, 25 per flask; Square plates: 30 mL, 20 per flask</t>
  </si>
  <si>
    <t>Bacterial density needed (cells/mL)</t>
  </si>
  <si>
    <t>Total number of CHA flasks</t>
  </si>
  <si>
    <t>Cells/mL per OD600</t>
  </si>
  <si>
    <t>OD needed for given density</t>
  </si>
  <si>
    <t>Resuspend to</t>
  </si>
  <si>
    <t>Final MOI 5, dilute 1:100</t>
  </si>
  <si>
    <t>For final vol 1.3 mL at 0.028</t>
  </si>
  <si>
    <t>Number</t>
  </si>
  <si>
    <t>Strain</t>
  </si>
  <si>
    <t>Resuspend cells to (OD600)</t>
  </si>
  <si>
    <t>Cells (uL)</t>
  </si>
  <si>
    <t>Media (x2, uL)</t>
  </si>
  <si>
    <t>OD600</t>
  </si>
  <si>
    <t>Volume to dilute in 1 mL (usually 1:100)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</si>
  <si>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>chaC</t>
    </r>
  </si>
  <si>
    <t>undiluted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</si>
  <si>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 xml:space="preserve">chaC </t>
    </r>
    <r>
      <rPr>
        <sz val="12"/>
        <color theme="1"/>
        <rFont val="Calibri"/>
        <family val="2"/>
        <scheme val="minor"/>
      </rPr>
      <t>Tn7:</t>
    </r>
    <r>
      <rPr>
        <i/>
        <sz val="12"/>
        <color theme="1"/>
        <rFont val="Calibri"/>
        <family val="2"/>
        <scheme val="minor"/>
      </rPr>
      <t>chaC</t>
    </r>
  </si>
  <si>
    <t>Inoculum</t>
  </si>
  <si>
    <t>Replicate</t>
  </si>
  <si>
    <t>Dilution factor counted</t>
  </si>
  <si>
    <t>Cells / mL</t>
  </si>
  <si>
    <t>Average Cells / mL</t>
  </si>
  <si>
    <t>St dev</t>
  </si>
  <si>
    <t>CFU/well</t>
  </si>
  <si>
    <t>MOI (based on number of seeded macrophage- see setup)</t>
  </si>
  <si>
    <t>1A</t>
  </si>
  <si>
    <t>TMTC</t>
  </si>
  <si>
    <t>1B</t>
  </si>
  <si>
    <t>2A</t>
  </si>
  <si>
    <t>2B</t>
  </si>
  <si>
    <t>3A</t>
  </si>
  <si>
    <t>3B</t>
  </si>
  <si>
    <t>Dilution Factor</t>
  </si>
  <si>
    <t>Plate</t>
  </si>
  <si>
    <t>Plate 1</t>
  </si>
  <si>
    <t>Plate 2</t>
  </si>
  <si>
    <t>Average Cells</t>
  </si>
  <si>
    <t>CFU per well</t>
  </si>
  <si>
    <t>T-test</t>
  </si>
  <si>
    <t>Average CFU per well</t>
  </si>
  <si>
    <t>St Dev</t>
  </si>
  <si>
    <t>Original MOI</t>
  </si>
  <si>
    <t>Fold Change</t>
  </si>
  <si>
    <t>1C</t>
  </si>
  <si>
    <t>2C</t>
  </si>
  <si>
    <t>3C</t>
  </si>
  <si>
    <t>50 ul cells plated</t>
  </si>
  <si>
    <t>Track Plate 1</t>
  </si>
  <si>
    <t>Track Plate 2</t>
  </si>
  <si>
    <t>*Plated 50 ul on circular plate</t>
  </si>
  <si>
    <t>T=24</t>
  </si>
  <si>
    <t>2nd measurement</t>
  </si>
  <si>
    <t>1st measurement</t>
  </si>
  <si>
    <t>Average</t>
  </si>
  <si>
    <t>Undiluted</t>
  </si>
  <si>
    <t>Density</t>
  </si>
  <si>
    <t>#</t>
  </si>
  <si>
    <t>∆pigR</t>
  </si>
  <si>
    <t>2x each, each 1/2 plate</t>
  </si>
  <si>
    <t>4A</t>
  </si>
  <si>
    <t>4B</t>
  </si>
  <si>
    <t>4C</t>
  </si>
  <si>
    <t>JCLVS106</t>
  </si>
  <si>
    <t>LVS ∆rpsU2 pF</t>
  </si>
  <si>
    <t>LVS ∆rpsU2 pF-rpsU2-V</t>
  </si>
  <si>
    <t>LVS ∆pigR</t>
  </si>
  <si>
    <t>5A</t>
  </si>
  <si>
    <t>5B</t>
  </si>
  <si>
    <r>
      <t>LVS ∆</t>
    </r>
    <r>
      <rPr>
        <i/>
        <sz val="12"/>
        <color theme="1"/>
        <rFont val="Calibri"/>
        <family val="2"/>
        <scheme val="minor"/>
      </rPr>
      <t>pigR</t>
    </r>
  </si>
  <si>
    <r>
      <t>LVS ∆</t>
    </r>
    <r>
      <rPr>
        <b/>
        <i/>
        <sz val="12"/>
        <color theme="1"/>
        <rFont val="Calibri"/>
        <family val="2"/>
        <scheme val="minor"/>
      </rPr>
      <t>pigR</t>
    </r>
  </si>
  <si>
    <r>
      <t>LVS ∆</t>
    </r>
    <r>
      <rPr>
        <b/>
        <i/>
        <sz val="12"/>
        <color theme="1"/>
        <rFont val="Calibri"/>
        <family val="2"/>
        <scheme val="minor"/>
      </rPr>
      <t>pigR</t>
    </r>
    <r>
      <rPr>
        <b/>
        <sz val="12"/>
        <color theme="1"/>
        <rFont val="Calibri"/>
        <family val="2"/>
        <scheme val="minor"/>
      </rPr>
      <t>*</t>
    </r>
  </si>
  <si>
    <t>T=2</t>
  </si>
  <si>
    <t>Fold Replication</t>
  </si>
  <si>
    <r>
      <t xml:space="preserve">Generation Time </t>
    </r>
    <r>
      <rPr>
        <i/>
        <sz val="12"/>
        <color theme="1"/>
        <rFont val="Calibri"/>
        <family val="2"/>
        <scheme val="minor"/>
      </rPr>
      <t>in vivo</t>
    </r>
  </si>
  <si>
    <t>LVS pF</t>
  </si>
  <si>
    <t>Number of plates- CHA</t>
  </si>
  <si>
    <t>Number of plates - KAN</t>
  </si>
  <si>
    <t>Volume media (uL)</t>
  </si>
  <si>
    <t>5C</t>
  </si>
  <si>
    <t>stdev</t>
  </si>
  <si>
    <t>t-test</t>
  </si>
  <si>
    <t>Generation time in vivo</t>
  </si>
  <si>
    <t>Generation time in vitro</t>
  </si>
  <si>
    <t>LVS ΔrpsU2 pF</t>
  </si>
  <si>
    <t>LVS ΔrpsU2 pF-rpsU1-V</t>
  </si>
  <si>
    <t>LVS ΔrpsU2 pF-rpsU2-V</t>
  </si>
  <si>
    <t>LVS ΔrpsU2 pF-rpsU3-V</t>
  </si>
  <si>
    <t>Plus expt 1</t>
  </si>
  <si>
    <t>8 strains in duplicate</t>
  </si>
  <si>
    <t>No T=2 for this expt</t>
  </si>
  <si>
    <t>Square: 7 strains x 2 wells x 2 plates; round: ∆pigR x 2 wells x 2 plates</t>
  </si>
  <si>
    <t>Total plates plus extra</t>
  </si>
  <si>
    <t>T-test (vs LVS)</t>
  </si>
  <si>
    <t>Fold change from WT</t>
  </si>
  <si>
    <t>Fold Replication (from 2 hrs)</t>
  </si>
  <si>
    <t>KMLFT37.1 (KR lab fine)</t>
  </si>
  <si>
    <t xml:space="preserve">KRLVS40.1 </t>
  </si>
  <si>
    <t xml:space="preserve">∆pmrA∆priM </t>
  </si>
  <si>
    <t>-</t>
  </si>
  <si>
    <t>KMLFT37</t>
  </si>
  <si>
    <t>KRLVS40</t>
  </si>
  <si>
    <t>∆pmrA∆priM</t>
  </si>
  <si>
    <t>KMLFT49</t>
  </si>
  <si>
    <t>5 strains in duplicate</t>
  </si>
  <si>
    <t>Round: 5 strains x triplicate wells x duplicate</t>
  </si>
  <si>
    <t>Square: 4 strains x 3 wells x 2 plates; round: ∆pigR x 3 wells x 2 plates</t>
  </si>
  <si>
    <t>For final vol 4 mL at 0.0004</t>
  </si>
  <si>
    <t>For final vol 1 mL at 0.04</t>
  </si>
  <si>
    <r>
      <t>LVS ∆</t>
    </r>
    <r>
      <rPr>
        <b/>
        <i/>
        <sz val="12"/>
        <color theme="1"/>
        <rFont val="Calibri"/>
        <family val="2"/>
        <scheme val="minor"/>
      </rPr>
      <t>pmrA</t>
    </r>
    <r>
      <rPr>
        <b/>
        <sz val="12"/>
        <color theme="1"/>
        <rFont val="Calibri"/>
        <family val="2"/>
        <scheme val="minor"/>
      </rPr>
      <t xml:space="preserve"> KMLFTS37</t>
    </r>
  </si>
  <si>
    <r>
      <t>LVS ∆</t>
    </r>
    <r>
      <rPr>
        <b/>
        <i/>
        <sz val="12"/>
        <color theme="1"/>
        <rFont val="Calibri"/>
        <family val="2"/>
        <scheme val="minor"/>
      </rPr>
      <t>pmrA</t>
    </r>
    <r>
      <rPr>
        <b/>
        <sz val="12"/>
        <color theme="1"/>
        <rFont val="Calibri"/>
        <family val="2"/>
        <scheme val="minor"/>
      </rPr>
      <t xml:space="preserve"> KRLVS40</t>
    </r>
  </si>
  <si>
    <r>
      <t>LVS ∆</t>
    </r>
    <r>
      <rPr>
        <b/>
        <i/>
        <sz val="12"/>
        <color theme="1"/>
        <rFont val="Calibri"/>
        <family val="2"/>
        <scheme val="minor"/>
      </rPr>
      <t>pmrA</t>
    </r>
    <r>
      <rPr>
        <b/>
        <sz val="12"/>
        <color theme="1"/>
        <rFont val="Calibri"/>
        <family val="2"/>
        <scheme val="minor"/>
      </rPr>
      <t>∆</t>
    </r>
    <r>
      <rPr>
        <b/>
        <i/>
        <sz val="12"/>
        <color theme="1"/>
        <rFont val="Calibri"/>
        <family val="2"/>
        <scheme val="minor"/>
      </rPr>
      <t>priM</t>
    </r>
  </si>
  <si>
    <t>LVS ∆pmrA KMLFT37</t>
  </si>
  <si>
    <t>LVS ∆pmrA KRLVS40</t>
  </si>
  <si>
    <t>LVS ∆pmrA∆priM</t>
  </si>
  <si>
    <t>LVS ∆pmrA KMLFTS37</t>
  </si>
  <si>
    <r>
      <t>LVS ∆</t>
    </r>
    <r>
      <rPr>
        <i/>
        <sz val="12"/>
        <color theme="1"/>
        <rFont val="Calibri"/>
        <family val="2"/>
        <scheme val="minor"/>
      </rPr>
      <t>pmrA</t>
    </r>
    <r>
      <rPr>
        <sz val="12"/>
        <color theme="1"/>
        <rFont val="Calibri"/>
        <family val="2"/>
        <scheme val="minor"/>
      </rPr>
      <t xml:space="preserve"> KMLFT37</t>
    </r>
  </si>
  <si>
    <r>
      <t>LVS ∆</t>
    </r>
    <r>
      <rPr>
        <i/>
        <sz val="12"/>
        <color theme="1"/>
        <rFont val="Calibri"/>
        <family val="2"/>
        <scheme val="minor"/>
      </rPr>
      <t xml:space="preserve">pmrA </t>
    </r>
    <r>
      <rPr>
        <sz val="12"/>
        <color theme="1"/>
        <rFont val="Calibri"/>
        <family val="2"/>
        <scheme val="minor"/>
      </rPr>
      <t>KRLVS40</t>
    </r>
  </si>
  <si>
    <r>
      <t>LVS ∆</t>
    </r>
    <r>
      <rPr>
        <i/>
        <sz val="12"/>
        <color theme="1"/>
        <rFont val="Calibri"/>
        <family val="2"/>
        <scheme val="minor"/>
      </rPr>
      <t>pmrA</t>
    </r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>priM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</si>
</sst>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11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11" fontId="0" fillId="0" borderId="0" xfId="0" applyNumberFormat="1" applyBorder="1"/>
    <xf numFmtId="164" fontId="0" fillId="0" borderId="0" xfId="0" applyNumberFormat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2" fontId="0" fillId="0" borderId="0" xfId="0" applyNumberFormat="1" applyBorder="1"/>
    <xf numFmtId="166" fontId="0" fillId="0" borderId="0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9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4" xfId="0" applyBorder="1"/>
    <xf numFmtId="0" fontId="0" fillId="0" borderId="1" xfId="0" applyFill="1" applyBorder="1" applyAlignment="1">
      <alignment horizontal="right"/>
    </xf>
    <xf numFmtId="11" fontId="0" fillId="0" borderId="1" xfId="0" applyNumberFormat="1" applyFill="1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164" fontId="7" fillId="0" borderId="1" xfId="0" applyNumberFormat="1" applyFont="1" applyBorder="1"/>
    <xf numFmtId="1" fontId="7" fillId="0" borderId="1" xfId="0" applyNumberFormat="1" applyFont="1" applyFill="1" applyBorder="1"/>
    <xf numFmtId="2" fontId="7" fillId="0" borderId="1" xfId="0" applyNumberFormat="1" applyFont="1" applyBorder="1"/>
    <xf numFmtId="0" fontId="2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6" fontId="7" fillId="0" borderId="1" xfId="0" applyNumberFormat="1" applyFont="1" applyBorder="1"/>
    <xf numFmtId="164" fontId="7" fillId="0" borderId="1" xfId="0" applyNumberFormat="1" applyFont="1" applyFill="1" applyBorder="1"/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1" fontId="0" fillId="0" borderId="1" xfId="0" applyNumberFormat="1" applyFill="1" applyBorder="1"/>
    <xf numFmtId="0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6" fontId="0" fillId="0" borderId="6" xfId="0" applyNumberFormat="1" applyFill="1" applyBorder="1" applyAlignment="1">
      <alignment horizontal="right"/>
    </xf>
    <xf numFmtId="2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 applyAlignment="1">
      <alignment horizontal="right"/>
    </xf>
    <xf numFmtId="164" fontId="9" fillId="0" borderId="0" xfId="0" applyNumberFormat="1" applyFont="1"/>
    <xf numFmtId="164" fontId="10" fillId="0" borderId="0" xfId="0" applyNumberFormat="1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center"/>
    </xf>
    <xf numFmtId="0" fontId="4" fillId="0" borderId="12" xfId="0" applyFont="1" applyFill="1" applyBorder="1"/>
    <xf numFmtId="0" fontId="1" fillId="0" borderId="1" xfId="0" applyFont="1" applyFill="1" applyBorder="1" applyAlignment="1">
      <alignment wrapText="1"/>
    </xf>
    <xf numFmtId="2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Fill="1"/>
    <xf numFmtId="0" fontId="1" fillId="0" borderId="12" xfId="0" applyFont="1" applyFill="1" applyBorder="1" applyAlignment="1">
      <alignment horizontal="right"/>
    </xf>
    <xf numFmtId="0" fontId="1" fillId="0" borderId="13" xfId="0" applyFont="1" applyFill="1" applyBorder="1" applyAlignment="1">
      <alignment wrapText="1"/>
    </xf>
    <xf numFmtId="0" fontId="0" fillId="0" borderId="1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Inoculum!$B$18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Inoculum!$C$19:$C$24</c:f>
                <c:numCache>
                  <c:formatCode>General</c:formatCode>
                  <c:ptCount val="6"/>
                  <c:pt idx="0">
                    <c:v>14142.135623730952</c:v>
                  </c:pt>
                  <c:pt idx="1">
                    <c:v>32880.46532517446</c:v>
                  </c:pt>
                  <c:pt idx="2">
                    <c:v>0</c:v>
                  </c:pt>
                  <c:pt idx="3">
                    <c:v>17677.669529663686</c:v>
                  </c:pt>
                  <c:pt idx="4">
                    <c:v>17677.669529663621</c:v>
                  </c:pt>
                </c:numCache>
              </c:numRef>
            </c:plus>
            <c:minus>
              <c:numRef>
                <c:f>Inoculum!$C$19:$C$24</c:f>
                <c:numCache>
                  <c:formatCode>General</c:formatCode>
                  <c:ptCount val="6"/>
                  <c:pt idx="0">
                    <c:v>14142.135623730952</c:v>
                  </c:pt>
                  <c:pt idx="1">
                    <c:v>32880.46532517446</c:v>
                  </c:pt>
                  <c:pt idx="2">
                    <c:v>0</c:v>
                  </c:pt>
                  <c:pt idx="3">
                    <c:v>17677.669529663686</c:v>
                  </c:pt>
                  <c:pt idx="4">
                    <c:v>17677.669529663621</c:v>
                  </c:pt>
                </c:numCache>
              </c:numRef>
            </c:minus>
          </c:errBars>
          <c:cat>
            <c:strRef>
              <c:f>Inoculum!$A$19:$A$24</c:f>
              <c:strCache>
                <c:ptCount val="5"/>
                <c:pt idx="0">
                  <c:v>LVS</c:v>
                </c:pt>
                <c:pt idx="1">
                  <c:v>LVS ∆pmrA KMLFT37</c:v>
                </c:pt>
                <c:pt idx="2">
                  <c:v>LVS ∆pmrA KRLVS40</c:v>
                </c:pt>
                <c:pt idx="3">
                  <c:v>LVS ∆pmrA∆priM</c:v>
                </c:pt>
                <c:pt idx="4">
                  <c:v>LVS ∆pigR</c:v>
                </c:pt>
              </c:strCache>
            </c:strRef>
          </c:cat>
          <c:val>
            <c:numRef>
              <c:f>Inoculum!$B$19:$B$24</c:f>
              <c:numCache>
                <c:formatCode>0.00E+00</c:formatCode>
                <c:ptCount val="6"/>
                <c:pt idx="0">
                  <c:v>154999.99999999997</c:v>
                </c:pt>
                <c:pt idx="1">
                  <c:v>111750</c:v>
                </c:pt>
                <c:pt idx="2">
                  <c:v>178333.33333333331</c:v>
                </c:pt>
                <c:pt idx="3">
                  <c:v>192500</c:v>
                </c:pt>
                <c:pt idx="4">
                  <c:v>106666.66666666669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6-47D7-A0E9-F3AA82FF6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'T=2'!$M$3:$M$7</c:f>
                <c:numCache>
                  <c:formatCode>General</c:formatCode>
                  <c:ptCount val="5"/>
                  <c:pt idx="0">
                    <c:v>27.227437142216179</c:v>
                  </c:pt>
                  <c:pt idx="1">
                    <c:v>9.865765724632503</c:v>
                  </c:pt>
                  <c:pt idx="2">
                    <c:v>13.012814197295446</c:v>
                  </c:pt>
                  <c:pt idx="3">
                    <c:v>16.16580753730954</c:v>
                  </c:pt>
                  <c:pt idx="4">
                    <c:v>19.078784028338912</c:v>
                  </c:pt>
                </c:numCache>
              </c:numRef>
            </c:plus>
            <c:minus>
              <c:numRef>
                <c:f>'T=2'!$M$3:$M$7</c:f>
                <c:numCache>
                  <c:formatCode>General</c:formatCode>
                  <c:ptCount val="5"/>
                  <c:pt idx="0">
                    <c:v>27.227437142216179</c:v>
                  </c:pt>
                  <c:pt idx="1">
                    <c:v>9.865765724632503</c:v>
                  </c:pt>
                  <c:pt idx="2">
                    <c:v>13.012814197295446</c:v>
                  </c:pt>
                  <c:pt idx="3">
                    <c:v>16.16580753730954</c:v>
                  </c:pt>
                  <c:pt idx="4">
                    <c:v>19.078784028338912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cat>
            <c:strRef>
              <c:f>'T=2'!$K$3:$K$7</c:f>
              <c:strCache>
                <c:ptCount val="5"/>
                <c:pt idx="0">
                  <c:v>LVS</c:v>
                </c:pt>
                <c:pt idx="1">
                  <c:v>LVS ∆pmrA KMLFT37</c:v>
                </c:pt>
                <c:pt idx="2">
                  <c:v>LVS ∆pmrA KRLVS40</c:v>
                </c:pt>
                <c:pt idx="3">
                  <c:v>LVS ∆pmrA∆priM</c:v>
                </c:pt>
                <c:pt idx="4">
                  <c:v>LVS ∆pigR</c:v>
                </c:pt>
              </c:strCache>
            </c:strRef>
          </c:cat>
          <c:val>
            <c:numRef>
              <c:f>'T=2'!$L$3:$L$7</c:f>
              <c:numCache>
                <c:formatCode>0.00E+00</c:formatCode>
                <c:ptCount val="5"/>
                <c:pt idx="0">
                  <c:v>62.666666666666664</c:v>
                </c:pt>
                <c:pt idx="1">
                  <c:v>43.333333333333336</c:v>
                </c:pt>
                <c:pt idx="2">
                  <c:v>76.666666666666671</c:v>
                </c:pt>
                <c:pt idx="3">
                  <c:v>79.333333333333329</c:v>
                </c:pt>
                <c:pt idx="4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1-47C7-BF3C-EF64641EC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9928384618086"/>
          <c:y val="4.4444444444444398E-2"/>
          <c:w val="0.83014787930960632"/>
          <c:h val="0.7944581330552805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'T=24'!$P$4:$P$8</c:f>
                <c:numCache>
                  <c:formatCode>General</c:formatCode>
                  <c:ptCount val="5"/>
                  <c:pt idx="0">
                    <c:v>13650.396819628853</c:v>
                  </c:pt>
                  <c:pt idx="1">
                    <c:v>776.74534651540455</c:v>
                  </c:pt>
                  <c:pt idx="2">
                    <c:v>649.5382975621992</c:v>
                  </c:pt>
                  <c:pt idx="3">
                    <c:v>4200</c:v>
                  </c:pt>
                  <c:pt idx="4">
                    <c:v>5.0332229568471671</c:v>
                  </c:pt>
                </c:numCache>
              </c:numRef>
            </c:plus>
            <c:minus>
              <c:numRef>
                <c:f>'T=24'!$P$4:$P$8</c:f>
                <c:numCache>
                  <c:formatCode>General</c:formatCode>
                  <c:ptCount val="5"/>
                  <c:pt idx="0">
                    <c:v>13650.396819628853</c:v>
                  </c:pt>
                  <c:pt idx="1">
                    <c:v>776.74534651540455</c:v>
                  </c:pt>
                  <c:pt idx="2">
                    <c:v>649.5382975621992</c:v>
                  </c:pt>
                  <c:pt idx="3">
                    <c:v>4200</c:v>
                  </c:pt>
                  <c:pt idx="4">
                    <c:v>5.0332229568471671</c:v>
                  </c:pt>
                </c:numCache>
              </c:numRef>
            </c:minus>
          </c:errBars>
          <c:cat>
            <c:strRef>
              <c:f>'T=24'!$N$4:$N$8</c:f>
              <c:strCache>
                <c:ptCount val="5"/>
                <c:pt idx="0">
                  <c:v>LVS</c:v>
                </c:pt>
                <c:pt idx="1">
                  <c:v>LVS ∆pmrA KMLFT37</c:v>
                </c:pt>
                <c:pt idx="2">
                  <c:v>LVS ∆pmrA KRLVS40</c:v>
                </c:pt>
                <c:pt idx="3">
                  <c:v>LVS ∆pmrA∆priM</c:v>
                </c:pt>
                <c:pt idx="4">
                  <c:v>LVS ∆pigR</c:v>
                </c:pt>
              </c:strCache>
            </c:strRef>
          </c:cat>
          <c:val>
            <c:numRef>
              <c:f>'T=24'!$O$4:$O$8</c:f>
              <c:numCache>
                <c:formatCode>0.00E+00</c:formatCode>
                <c:ptCount val="5"/>
                <c:pt idx="0">
                  <c:v>51666.666666666664</c:v>
                </c:pt>
                <c:pt idx="1">
                  <c:v>5533.333333333333</c:v>
                </c:pt>
                <c:pt idx="2">
                  <c:v>1320</c:v>
                </c:pt>
                <c:pt idx="3">
                  <c:v>16000</c:v>
                </c:pt>
                <c:pt idx="4">
                  <c:v>5.333333333333333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C-814B-A364-060C7A020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9928384618086"/>
          <c:y val="4.4444444444444398E-2"/>
          <c:w val="0.83014787930960632"/>
          <c:h val="0.822793934734527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'T=24'!$X$2:$AC$2</c:f>
              <c:strCache>
                <c:ptCount val="1"/>
                <c:pt idx="0">
                  <c:v>T=2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'T=24'!$Z$4:$Z$8</c:f>
                <c:numCache>
                  <c:formatCode>General</c:formatCode>
                  <c:ptCount val="5"/>
                  <c:pt idx="0">
                    <c:v>25.794056162870799</c:v>
                  </c:pt>
                  <c:pt idx="1">
                    <c:v>8.3266639978645394</c:v>
                  </c:pt>
                  <c:pt idx="2">
                    <c:v>14</c:v>
                  </c:pt>
                  <c:pt idx="3">
                    <c:v>16.16580753730954</c:v>
                  </c:pt>
                  <c:pt idx="4">
                    <c:v>7.5718777944003675</c:v>
                  </c:pt>
                </c:numCache>
              </c:numRef>
            </c:plus>
            <c:minus>
              <c:numRef>
                <c:f>'T=24'!$Z$4:$Z$8</c:f>
                <c:numCache>
                  <c:formatCode>General</c:formatCode>
                  <c:ptCount val="5"/>
                  <c:pt idx="0">
                    <c:v>25.794056162870799</c:v>
                  </c:pt>
                  <c:pt idx="1">
                    <c:v>8.3266639978645394</c:v>
                  </c:pt>
                  <c:pt idx="2">
                    <c:v>14</c:v>
                  </c:pt>
                  <c:pt idx="3">
                    <c:v>16.16580753730954</c:v>
                  </c:pt>
                  <c:pt idx="4">
                    <c:v>7.5718777944003675</c:v>
                  </c:pt>
                </c:numCache>
              </c:numRef>
            </c:minus>
          </c:errBars>
          <c:cat>
            <c:strRef>
              <c:f>'T=24'!$N$4:$N$8</c:f>
              <c:strCache>
                <c:ptCount val="5"/>
                <c:pt idx="0">
                  <c:v>LVS</c:v>
                </c:pt>
                <c:pt idx="1">
                  <c:v>LVS ∆pmrA KMLFT37</c:v>
                </c:pt>
                <c:pt idx="2">
                  <c:v>LVS ∆pmrA KRLVS40</c:v>
                </c:pt>
                <c:pt idx="3">
                  <c:v>LVS ∆pmrA∆priM</c:v>
                </c:pt>
                <c:pt idx="4">
                  <c:v>LVS ∆pigR</c:v>
                </c:pt>
              </c:strCache>
            </c:strRef>
          </c:cat>
          <c:val>
            <c:numRef>
              <c:f>'T=24'!$Y$4:$Y$8</c:f>
              <c:numCache>
                <c:formatCode>0.00E+00</c:formatCode>
                <c:ptCount val="5"/>
                <c:pt idx="0">
                  <c:v>60.666666666666664</c:v>
                </c:pt>
                <c:pt idx="1">
                  <c:v>39.333333333333336</c:v>
                </c:pt>
                <c:pt idx="2">
                  <c:v>76</c:v>
                </c:pt>
                <c:pt idx="3">
                  <c:v>79.333333333333329</c:v>
                </c:pt>
                <c:pt idx="4">
                  <c:v>25.333333333333332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15-3342-BBB7-D418E94C6120}"/>
            </c:ext>
          </c:extLst>
        </c:ser>
        <c:ser>
          <c:idx val="0"/>
          <c:order val="1"/>
          <c:tx>
            <c:strRef>
              <c:f>'T=24'!$N$2:$T$2</c:f>
              <c:strCache>
                <c:ptCount val="1"/>
                <c:pt idx="0">
                  <c:v>T=24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'T=24'!$P$4:$P$8</c:f>
                <c:numCache>
                  <c:formatCode>General</c:formatCode>
                  <c:ptCount val="5"/>
                  <c:pt idx="0">
                    <c:v>13650.396819628853</c:v>
                  </c:pt>
                  <c:pt idx="1">
                    <c:v>776.74534651540455</c:v>
                  </c:pt>
                  <c:pt idx="2">
                    <c:v>649.5382975621992</c:v>
                  </c:pt>
                  <c:pt idx="3">
                    <c:v>4200</c:v>
                  </c:pt>
                  <c:pt idx="4">
                    <c:v>5.0332229568471671</c:v>
                  </c:pt>
                </c:numCache>
              </c:numRef>
            </c:plus>
            <c:minus>
              <c:numRef>
                <c:f>'T=24'!$P$4:$P$8</c:f>
                <c:numCache>
                  <c:formatCode>General</c:formatCode>
                  <c:ptCount val="5"/>
                  <c:pt idx="0">
                    <c:v>13650.396819628853</c:v>
                  </c:pt>
                  <c:pt idx="1">
                    <c:v>776.74534651540455</c:v>
                  </c:pt>
                  <c:pt idx="2">
                    <c:v>649.5382975621992</c:v>
                  </c:pt>
                  <c:pt idx="3">
                    <c:v>4200</c:v>
                  </c:pt>
                  <c:pt idx="4">
                    <c:v>5.0332229568471671</c:v>
                  </c:pt>
                </c:numCache>
              </c:numRef>
            </c:minus>
          </c:errBars>
          <c:cat>
            <c:strRef>
              <c:f>'T=24'!$N$4:$N$8</c:f>
              <c:strCache>
                <c:ptCount val="5"/>
                <c:pt idx="0">
                  <c:v>LVS</c:v>
                </c:pt>
                <c:pt idx="1">
                  <c:v>LVS ∆pmrA KMLFT37</c:v>
                </c:pt>
                <c:pt idx="2">
                  <c:v>LVS ∆pmrA KRLVS40</c:v>
                </c:pt>
                <c:pt idx="3">
                  <c:v>LVS ∆pmrA∆priM</c:v>
                </c:pt>
                <c:pt idx="4">
                  <c:v>LVS ∆pigR</c:v>
                </c:pt>
              </c:strCache>
            </c:strRef>
          </c:cat>
          <c:val>
            <c:numRef>
              <c:f>'T=24'!$O$4:$O$8</c:f>
              <c:numCache>
                <c:formatCode>0.00E+00</c:formatCode>
                <c:ptCount val="5"/>
                <c:pt idx="0">
                  <c:v>51666.666666666664</c:v>
                </c:pt>
                <c:pt idx="1">
                  <c:v>5533.333333333333</c:v>
                </c:pt>
                <c:pt idx="2">
                  <c:v>1320</c:v>
                </c:pt>
                <c:pt idx="3">
                  <c:v>16000</c:v>
                </c:pt>
                <c:pt idx="4">
                  <c:v>5.333333333333333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5-3342-BBB7-D418E94C6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9928384618086"/>
          <c:y val="4.4444444444444398E-2"/>
          <c:w val="0.83014787930960632"/>
          <c:h val="0.8227939347345271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'T=24'!$N$4:$N$8</c:f>
              <c:strCache>
                <c:ptCount val="5"/>
                <c:pt idx="0">
                  <c:v>LVS</c:v>
                </c:pt>
                <c:pt idx="1">
                  <c:v>LVS ∆pmrA KMLFT37</c:v>
                </c:pt>
                <c:pt idx="2">
                  <c:v>LVS ∆pmrA KRLVS40</c:v>
                </c:pt>
                <c:pt idx="3">
                  <c:v>LVS ∆pmrA∆priM</c:v>
                </c:pt>
                <c:pt idx="4">
                  <c:v>LVS ∆pigR</c:v>
                </c:pt>
              </c:strCache>
            </c:strRef>
          </c:cat>
          <c:val>
            <c:numRef>
              <c:f>'T=24'!$T$4:$T$8</c:f>
              <c:numCache>
                <c:formatCode>0.0</c:formatCode>
                <c:ptCount val="5"/>
                <c:pt idx="0">
                  <c:v>851.64835164835165</c:v>
                </c:pt>
                <c:pt idx="1">
                  <c:v>140.67796610169489</c:v>
                </c:pt>
                <c:pt idx="2">
                  <c:v>17.368421052631579</c:v>
                </c:pt>
                <c:pt idx="3">
                  <c:v>201.68067226890759</c:v>
                </c:pt>
                <c:pt idx="4">
                  <c:v>0.21052631578947367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B-C14C-952C-9E733B5E1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Fold Replication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368300</xdr:colOff>
      <xdr:row>21</xdr:row>
      <xdr:rowOff>158750</xdr:rowOff>
    </xdr:from>
    <xdr:to>
      <xdr:col>14</xdr:col>
      <xdr:colOff>749300</xdr:colOff>
      <xdr:row>33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E61369-F4B1-4418-AE70-3DDAB31CF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419099</xdr:colOff>
      <xdr:row>18</xdr:row>
      <xdr:rowOff>31942</xdr:rowOff>
    </xdr:from>
    <xdr:to>
      <xdr:col>18</xdr:col>
      <xdr:colOff>704273</xdr:colOff>
      <xdr:row>36</xdr:row>
      <xdr:rowOff>194860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51E1F1-F696-4A54-A6D5-3AEE795E2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69997</xdr:colOff>
      <xdr:row>8</xdr:row>
      <xdr:rowOff>157233</xdr:rowOff>
    </xdr:from>
    <xdr:to>
      <xdr:col>20</xdr:col>
      <xdr:colOff>408215</xdr:colOff>
      <xdr:row>29</xdr:row>
      <xdr:rowOff>54429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B7C6C4-FAE4-D84F-ACD2-6C5765F93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260554</xdr:colOff>
      <xdr:row>8</xdr:row>
      <xdr:rowOff>11864</xdr:rowOff>
    </xdr:from>
    <xdr:to>
      <xdr:col>38</xdr:col>
      <xdr:colOff>24192</xdr:colOff>
      <xdr:row>30</xdr:row>
      <xdr:rowOff>148930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ECEBF98-414B-F042-9F3C-EAA352CEB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43542</xdr:colOff>
      <xdr:row>31</xdr:row>
      <xdr:rowOff>88900</xdr:rowOff>
    </xdr:from>
    <xdr:to>
      <xdr:col>29</xdr:col>
      <xdr:colOff>586774</xdr:colOff>
      <xdr:row>51</xdr:row>
      <xdr:rowOff>118538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822CEF-6E5D-5740-8FD5-FBD32FDBD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5C57-8139-4D40-9212-FF2505C90C78}">
  <sheetPr>
    <pageSetUpPr fitToPage="1"/>
  </sheetPr>
  <dimension ref="A1:AG21"/>
  <sheetViews>
    <sheetView topLeftCell="P1" zoomScale="160" zoomScaleNormal="160" workbookViewId="0">
      <selection activeCell="P11" sqref="P11:P14"/>
    </sheetView>
  </sheetViews>
  <sheetFormatPr baseColWidth="10" defaultColWidth="10.6640625" defaultRowHeight="16" x14ac:dyDescent="0.2"/>
  <cols>
    <col min="1" max="1" width="2.5" bestFit="1" customWidth="1"/>
    <col min="2" max="4" width="11.83203125" bestFit="1" customWidth="1"/>
    <col min="5" max="5" width="2.1640625" bestFit="1" customWidth="1"/>
    <col min="6" max="8" width="8.6640625" bestFit="1" customWidth="1"/>
    <col min="9" max="9" width="2.1640625" bestFit="1" customWidth="1"/>
    <col min="10" max="12" width="8.33203125" bestFit="1" customWidth="1"/>
    <col min="13" max="13" width="3.1640625" bestFit="1" customWidth="1"/>
    <col min="14" max="14" width="4.33203125" customWidth="1"/>
    <col min="15" max="15" width="3" customWidth="1"/>
    <col min="16" max="16" width="30.6640625" bestFit="1" customWidth="1"/>
    <col min="17" max="17" width="12.83203125" bestFit="1" customWidth="1"/>
    <col min="18" max="18" width="6.5" customWidth="1"/>
    <col min="19" max="22" width="3.1640625" bestFit="1" customWidth="1"/>
    <col min="23" max="23" width="8.6640625" bestFit="1" customWidth="1"/>
    <col min="25" max="25" width="2.1640625" bestFit="1" customWidth="1"/>
    <col min="26" max="26" width="26.6640625" bestFit="1" customWidth="1"/>
    <col min="27" max="27" width="9.33203125" bestFit="1" customWidth="1"/>
    <col min="28" max="28" width="3.5" customWidth="1"/>
    <col min="29" max="32" width="3.1640625" bestFit="1" customWidth="1"/>
    <col min="33" max="33" width="12.5" bestFit="1" customWidth="1"/>
  </cols>
  <sheetData>
    <row r="1" spans="1:33" ht="17" thickBot="1" x14ac:dyDescent="0.25">
      <c r="A1" s="2" t="s">
        <v>0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P1" s="4" t="s">
        <v>26</v>
      </c>
      <c r="Q1" s="4" t="s">
        <v>27</v>
      </c>
      <c r="Z1" s="95" t="s">
        <v>1</v>
      </c>
      <c r="AA1" s="95"/>
      <c r="AC1" s="96" t="s">
        <v>88</v>
      </c>
      <c r="AD1" s="96"/>
      <c r="AE1" s="96"/>
      <c r="AF1" s="96"/>
      <c r="AG1" s="96"/>
    </row>
    <row r="2" spans="1:33" ht="17" x14ac:dyDescent="0.2">
      <c r="A2" s="5" t="s">
        <v>2</v>
      </c>
      <c r="B2" s="6" t="s">
        <v>3</v>
      </c>
      <c r="C2" s="6" t="s">
        <v>3</v>
      </c>
      <c r="D2" s="6" t="s">
        <v>3</v>
      </c>
      <c r="E2" s="6"/>
      <c r="F2" s="6" t="s">
        <v>135</v>
      </c>
      <c r="G2" s="6" t="s">
        <v>135</v>
      </c>
      <c r="H2" s="6" t="s">
        <v>135</v>
      </c>
      <c r="I2" s="6"/>
      <c r="J2" s="6" t="s">
        <v>136</v>
      </c>
      <c r="K2" s="6" t="s">
        <v>136</v>
      </c>
      <c r="L2" s="6" t="s">
        <v>136</v>
      </c>
      <c r="M2" s="7"/>
      <c r="P2" s="2" t="s">
        <v>29</v>
      </c>
      <c r="Q2" s="14">
        <v>5</v>
      </c>
      <c r="Z2" s="2" t="s">
        <v>4</v>
      </c>
      <c r="AA2" s="9">
        <v>25000</v>
      </c>
      <c r="AC2" s="76">
        <v>16</v>
      </c>
      <c r="AD2" s="76">
        <v>17</v>
      </c>
      <c r="AE2" s="76">
        <v>26</v>
      </c>
      <c r="AF2" s="76">
        <v>36</v>
      </c>
      <c r="AG2" s="96"/>
    </row>
    <row r="3" spans="1:33" x14ac:dyDescent="0.2">
      <c r="A3" s="5" t="s">
        <v>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"/>
      <c r="P3" s="2" t="s">
        <v>31</v>
      </c>
      <c r="Q3" s="15">
        <f>AA10</f>
        <v>20000</v>
      </c>
      <c r="Z3" s="2" t="s">
        <v>6</v>
      </c>
      <c r="AA3" s="2">
        <v>0.2</v>
      </c>
      <c r="AC3" s="2"/>
      <c r="AD3" s="2"/>
      <c r="AE3" s="2"/>
      <c r="AF3" s="2"/>
      <c r="AG3" s="96"/>
    </row>
    <row r="4" spans="1:33" x14ac:dyDescent="0.2">
      <c r="A4" s="5" t="s">
        <v>7</v>
      </c>
      <c r="B4" s="6"/>
      <c r="C4" s="6"/>
      <c r="D4" s="6"/>
      <c r="E4" s="7"/>
      <c r="F4" s="6"/>
      <c r="G4" s="6"/>
      <c r="H4" s="6"/>
      <c r="I4" s="8"/>
      <c r="J4" s="6"/>
      <c r="K4" s="6"/>
      <c r="L4" s="6"/>
      <c r="M4" s="2"/>
      <c r="P4" s="2" t="s">
        <v>33</v>
      </c>
      <c r="Q4" s="14">
        <v>0.05</v>
      </c>
      <c r="Z4" s="2" t="s">
        <v>8</v>
      </c>
      <c r="AA4" s="9">
        <f>AA2/AA3</f>
        <v>125000</v>
      </c>
      <c r="AC4" s="96" t="s">
        <v>89</v>
      </c>
      <c r="AD4" s="96"/>
      <c r="AE4" s="96"/>
      <c r="AF4" s="96"/>
      <c r="AG4" s="2">
        <f>AVERAGE(AC2:AF3)</f>
        <v>23.75</v>
      </c>
    </row>
    <row r="5" spans="1:33" ht="17" x14ac:dyDescent="0.2">
      <c r="A5" s="5" t="s">
        <v>9</v>
      </c>
      <c r="B5" s="6" t="s">
        <v>137</v>
      </c>
      <c r="C5" s="6" t="s">
        <v>137</v>
      </c>
      <c r="D5" s="6" t="s">
        <v>137</v>
      </c>
      <c r="E5" s="6"/>
      <c r="F5" s="6" t="s">
        <v>93</v>
      </c>
      <c r="G5" s="6" t="s">
        <v>93</v>
      </c>
      <c r="H5" s="6" t="s">
        <v>93</v>
      </c>
      <c r="I5" s="6"/>
      <c r="J5" s="6"/>
      <c r="K5" s="6"/>
      <c r="L5" s="6"/>
      <c r="M5" s="2"/>
      <c r="P5" s="16" t="s">
        <v>36</v>
      </c>
      <c r="Q5" s="15">
        <f>(Q3*Q2/Q4)</f>
        <v>2000000</v>
      </c>
      <c r="Z5" s="2" t="s">
        <v>10</v>
      </c>
      <c r="AA5" s="2">
        <v>12</v>
      </c>
      <c r="AC5" s="96" t="s">
        <v>90</v>
      </c>
      <c r="AD5" s="96"/>
      <c r="AE5" s="96"/>
      <c r="AF5" s="96"/>
      <c r="AG5" s="2">
        <f>AG4*2</f>
        <v>47.5</v>
      </c>
    </row>
    <row r="6" spans="1:33" ht="17" x14ac:dyDescent="0.2">
      <c r="A6" s="5" t="s">
        <v>11</v>
      </c>
      <c r="B6" s="6"/>
      <c r="C6" s="6"/>
      <c r="D6" s="6"/>
      <c r="E6" s="6"/>
      <c r="F6" s="6"/>
      <c r="G6" s="6"/>
      <c r="H6" s="6"/>
      <c r="I6" s="6"/>
      <c r="J6" s="6" t="s">
        <v>0</v>
      </c>
      <c r="K6" s="6"/>
      <c r="L6" s="6"/>
      <c r="M6" s="2"/>
      <c r="P6" s="2" t="s">
        <v>38</v>
      </c>
      <c r="Q6" s="15">
        <v>5810000000</v>
      </c>
      <c r="Z6" s="2" t="s">
        <v>12</v>
      </c>
      <c r="AA6" s="57">
        <f>AG6</f>
        <v>475000</v>
      </c>
      <c r="AC6" s="96" t="s">
        <v>91</v>
      </c>
      <c r="AD6" s="96"/>
      <c r="AE6" s="96"/>
      <c r="AF6" s="96"/>
      <c r="AG6" s="9">
        <f>AG5*10000</f>
        <v>475000</v>
      </c>
    </row>
    <row r="7" spans="1:33" x14ac:dyDescent="0.2">
      <c r="A7" s="5" t="s">
        <v>13</v>
      </c>
      <c r="B7" s="10"/>
      <c r="C7" s="12"/>
      <c r="D7" s="6"/>
      <c r="E7" s="6"/>
      <c r="F7" s="6"/>
      <c r="G7" s="6"/>
      <c r="H7" s="6"/>
      <c r="I7" s="11"/>
      <c r="J7" s="11"/>
      <c r="K7" s="11"/>
      <c r="L7" s="11"/>
      <c r="M7" s="2"/>
      <c r="P7" s="2" t="s">
        <v>39</v>
      </c>
      <c r="Q7" s="17">
        <f>Q5/Q6</f>
        <v>3.4423407917383823E-4</v>
      </c>
      <c r="Z7" s="2" t="s">
        <v>14</v>
      </c>
      <c r="AA7" s="90">
        <f>AA5*AA4/AA6</f>
        <v>3.1578947368421053</v>
      </c>
    </row>
    <row r="8" spans="1:33" x14ac:dyDescent="0.2">
      <c r="A8" s="5" t="s">
        <v>15</v>
      </c>
      <c r="B8" s="6"/>
      <c r="C8" s="6"/>
      <c r="D8" s="6"/>
      <c r="E8" s="7"/>
      <c r="F8" s="6"/>
      <c r="G8" s="6"/>
      <c r="H8" s="6"/>
      <c r="I8" s="8"/>
      <c r="J8" s="6"/>
      <c r="K8" s="6"/>
      <c r="L8" s="6"/>
      <c r="M8" s="6"/>
      <c r="P8" s="2" t="s">
        <v>40</v>
      </c>
      <c r="Q8" s="18">
        <v>0.04</v>
      </c>
      <c r="Z8" s="2" t="s">
        <v>16</v>
      </c>
      <c r="AA8" s="90">
        <f>AA5-AA7</f>
        <v>8.8421052631578938</v>
      </c>
      <c r="AC8" s="96" t="s">
        <v>87</v>
      </c>
      <c r="AD8" s="96"/>
      <c r="AE8" s="96"/>
      <c r="AF8" s="96"/>
      <c r="AG8" s="96"/>
    </row>
    <row r="9" spans="1:33" x14ac:dyDescent="0.2">
      <c r="A9" s="5" t="s">
        <v>17</v>
      </c>
      <c r="B9" s="10"/>
      <c r="C9" s="12"/>
      <c r="D9" s="6"/>
      <c r="E9" s="6"/>
      <c r="F9" s="6"/>
      <c r="G9" s="6"/>
      <c r="H9" s="6"/>
      <c r="I9" s="11"/>
      <c r="J9" s="11"/>
      <c r="K9" s="11"/>
      <c r="L9" s="11"/>
      <c r="M9" s="2"/>
      <c r="P9" s="2" t="s">
        <v>41</v>
      </c>
      <c r="Q9" s="19">
        <f>Q8/100</f>
        <v>4.0000000000000002E-4</v>
      </c>
      <c r="Z9" s="2" t="s">
        <v>18</v>
      </c>
      <c r="AA9" s="57">
        <f>AG14</f>
        <v>100000</v>
      </c>
      <c r="AB9" s="91"/>
      <c r="AC9" s="76">
        <v>1</v>
      </c>
      <c r="AD9" s="76">
        <v>4</v>
      </c>
      <c r="AE9" s="76">
        <v>10</v>
      </c>
      <c r="AF9" s="76">
        <v>9</v>
      </c>
      <c r="AG9" s="97"/>
    </row>
    <row r="10" spans="1:33" x14ac:dyDescent="0.2">
      <c r="H10" s="1"/>
      <c r="Z10" s="2" t="s">
        <v>19</v>
      </c>
      <c r="AA10" s="57">
        <f>AA9*0.2</f>
        <v>20000</v>
      </c>
      <c r="AB10" s="91"/>
      <c r="AC10" s="76">
        <v>3</v>
      </c>
      <c r="AD10" s="76">
        <v>5</v>
      </c>
      <c r="AE10" s="76">
        <v>0</v>
      </c>
      <c r="AF10" s="76">
        <v>6</v>
      </c>
      <c r="AG10" s="98"/>
    </row>
    <row r="11" spans="1:33" x14ac:dyDescent="0.2">
      <c r="O11" s="2">
        <v>1</v>
      </c>
      <c r="P11" s="2" t="s">
        <v>3</v>
      </c>
      <c r="Q11" s="2" t="s">
        <v>134</v>
      </c>
      <c r="AA11" s="91"/>
      <c r="AB11" s="91"/>
      <c r="AC11" s="76">
        <v>3</v>
      </c>
      <c r="AD11" s="76">
        <v>6</v>
      </c>
      <c r="AE11" s="76">
        <v>6</v>
      </c>
      <c r="AF11" s="76">
        <v>7</v>
      </c>
      <c r="AG11" s="99"/>
    </row>
    <row r="12" spans="1:33" x14ac:dyDescent="0.2">
      <c r="O12" s="2">
        <v>2</v>
      </c>
      <c r="P12" s="2" t="s">
        <v>131</v>
      </c>
      <c r="Q12" s="58" t="s">
        <v>135</v>
      </c>
      <c r="AC12" s="96" t="s">
        <v>89</v>
      </c>
      <c r="AD12" s="96"/>
      <c r="AE12" s="96"/>
      <c r="AF12" s="96"/>
      <c r="AG12" s="88">
        <f>AVERAGE(AC9:AF11)</f>
        <v>5</v>
      </c>
    </row>
    <row r="13" spans="1:33" x14ac:dyDescent="0.2">
      <c r="O13" s="2">
        <v>3</v>
      </c>
      <c r="P13" s="2" t="s">
        <v>132</v>
      </c>
      <c r="Q13" s="58" t="s">
        <v>136</v>
      </c>
      <c r="AC13" s="96" t="s">
        <v>90</v>
      </c>
      <c r="AD13" s="96"/>
      <c r="AE13" s="96"/>
      <c r="AF13" s="96"/>
      <c r="AG13" s="2">
        <f>AG12*2</f>
        <v>10</v>
      </c>
    </row>
    <row r="14" spans="1:33" x14ac:dyDescent="0.2">
      <c r="O14" s="2">
        <v>4</v>
      </c>
      <c r="P14" s="2" t="s">
        <v>133</v>
      </c>
      <c r="Q14" s="58" t="s">
        <v>138</v>
      </c>
      <c r="AC14" s="96" t="s">
        <v>91</v>
      </c>
      <c r="AD14" s="96"/>
      <c r="AE14" s="96"/>
      <c r="AF14" s="96"/>
      <c r="AG14" s="9">
        <f>AG13*10000</f>
        <v>100000</v>
      </c>
    </row>
    <row r="15" spans="1:33" x14ac:dyDescent="0.2">
      <c r="O15" s="2">
        <v>5</v>
      </c>
      <c r="P15" s="2" t="s">
        <v>93</v>
      </c>
      <c r="Q15" s="58" t="s">
        <v>98</v>
      </c>
    </row>
    <row r="16" spans="1:33" x14ac:dyDescent="0.2">
      <c r="O16" s="2"/>
      <c r="P16" s="2"/>
      <c r="Q16" s="58"/>
    </row>
    <row r="21" spans="25:25" x14ac:dyDescent="0.2">
      <c r="Y21" s="1"/>
    </row>
  </sheetData>
  <mergeCells count="11">
    <mergeCell ref="AC12:AF12"/>
    <mergeCell ref="AC13:AF13"/>
    <mergeCell ref="AC14:AF14"/>
    <mergeCell ref="AG2:AG3"/>
    <mergeCell ref="AG9:AG11"/>
    <mergeCell ref="Z1:AA1"/>
    <mergeCell ref="AC1:AG1"/>
    <mergeCell ref="AC8:AG8"/>
    <mergeCell ref="AC4:AF4"/>
    <mergeCell ref="AC5:AF5"/>
    <mergeCell ref="AC6:AF6"/>
  </mergeCells>
  <phoneticPr fontId="6" type="noConversion"/>
  <pageMargins left="0.25" right="0.25" top="0.75" bottom="0.75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F144-0068-344F-A19C-2945CA9942F0}">
  <sheetPr>
    <pageSetUpPr fitToPage="1"/>
  </sheetPr>
  <dimension ref="A2:AA39"/>
  <sheetViews>
    <sheetView zoomScale="180" zoomScaleNormal="180" workbookViewId="0">
      <selection activeCell="A5" sqref="A5:D12"/>
    </sheetView>
  </sheetViews>
  <sheetFormatPr baseColWidth="10" defaultColWidth="10.6640625" defaultRowHeight="16" x14ac:dyDescent="0.2"/>
  <cols>
    <col min="1" max="1" width="16" bestFit="1" customWidth="1"/>
    <col min="2" max="2" width="10.6640625" bestFit="1" customWidth="1"/>
    <col min="3" max="3" width="4.83203125" bestFit="1" customWidth="1"/>
    <col min="4" max="4" width="10.6640625" bestFit="1" customWidth="1"/>
    <col min="5" max="5" width="4.83203125" bestFit="1" customWidth="1"/>
    <col min="6" max="6" width="31.6640625" customWidth="1"/>
    <col min="8" max="10" width="16.33203125" customWidth="1"/>
    <col min="12" max="14" width="16.33203125" customWidth="1"/>
    <col min="17" max="17" width="26.6640625" bestFit="1" customWidth="1"/>
    <col min="20" max="20" width="33.5" bestFit="1" customWidth="1"/>
  </cols>
  <sheetData>
    <row r="2" spans="1:10" x14ac:dyDescent="0.2">
      <c r="J2" s="1"/>
    </row>
    <row r="4" spans="1:10" x14ac:dyDescent="0.2">
      <c r="A4" s="43"/>
      <c r="B4" s="44" t="s">
        <v>111</v>
      </c>
      <c r="C4" s="43"/>
      <c r="D4" s="43"/>
    </row>
    <row r="5" spans="1:10" x14ac:dyDescent="0.2">
      <c r="A5" s="45" t="s">
        <v>20</v>
      </c>
      <c r="B5" s="45" t="s">
        <v>21</v>
      </c>
      <c r="C5" s="45" t="s">
        <v>22</v>
      </c>
      <c r="D5" s="45" t="s">
        <v>23</v>
      </c>
    </row>
    <row r="6" spans="1:10" x14ac:dyDescent="0.2">
      <c r="A6" s="46" t="s">
        <v>24</v>
      </c>
      <c r="B6" s="46">
        <v>5</v>
      </c>
      <c r="C6" s="46"/>
      <c r="D6" s="46" t="s">
        <v>94</v>
      </c>
    </row>
    <row r="7" spans="1:10" x14ac:dyDescent="0.2">
      <c r="A7" s="46" t="s">
        <v>25</v>
      </c>
      <c r="B7" s="46">
        <v>0</v>
      </c>
      <c r="C7" s="46">
        <f>5*2</f>
        <v>10</v>
      </c>
      <c r="D7" s="46" t="s">
        <v>139</v>
      </c>
    </row>
    <row r="8" spans="1:10" x14ac:dyDescent="0.2">
      <c r="A8" s="46" t="s">
        <v>28</v>
      </c>
      <c r="B8" s="46">
        <v>30</v>
      </c>
      <c r="C8" s="46">
        <v>0</v>
      </c>
      <c r="D8" s="46" t="s">
        <v>140</v>
      </c>
    </row>
    <row r="9" spans="1:10" ht="61" x14ac:dyDescent="0.2">
      <c r="A9" s="46" t="s">
        <v>30</v>
      </c>
      <c r="B9" s="46">
        <f>3*2</f>
        <v>6</v>
      </c>
      <c r="C9" s="46">
        <v>24</v>
      </c>
      <c r="D9" s="47" t="s">
        <v>141</v>
      </c>
    </row>
    <row r="10" spans="1:10" x14ac:dyDescent="0.2">
      <c r="A10" s="46" t="s">
        <v>32</v>
      </c>
      <c r="B10" s="46">
        <f>SUM(B6:B9)</f>
        <v>41</v>
      </c>
      <c r="C10" s="46">
        <f>SUM(C6:C9)</f>
        <v>34</v>
      </c>
      <c r="D10" s="102" t="s">
        <v>35</v>
      </c>
      <c r="F10">
        <v>19</v>
      </c>
    </row>
    <row r="11" spans="1:10" ht="17" thickBot="1" x14ac:dyDescent="0.25">
      <c r="A11" s="48" t="s">
        <v>34</v>
      </c>
      <c r="B11" s="48">
        <f>B10/25</f>
        <v>1.64</v>
      </c>
      <c r="C11" s="49">
        <f>C10/20</f>
        <v>1.7</v>
      </c>
      <c r="D11" s="102"/>
      <c r="F11">
        <f>36+6</f>
        <v>42</v>
      </c>
    </row>
    <row r="12" spans="1:10" ht="17" thickBot="1" x14ac:dyDescent="0.25">
      <c r="A12" s="50" t="s">
        <v>37</v>
      </c>
      <c r="B12" s="51">
        <f>SUM(B11:C11)</f>
        <v>3.34</v>
      </c>
      <c r="C12" s="43"/>
      <c r="D12" s="43"/>
      <c r="F12">
        <f>F11-F10</f>
        <v>23</v>
      </c>
    </row>
    <row r="18" spans="1:27" x14ac:dyDescent="0.2">
      <c r="A18" t="s">
        <v>123</v>
      </c>
      <c r="G18" s="44" t="s">
        <v>112</v>
      </c>
      <c r="H18" s="43"/>
    </row>
    <row r="19" spans="1:27" x14ac:dyDescent="0.2">
      <c r="A19" s="45" t="s">
        <v>20</v>
      </c>
      <c r="B19" s="45" t="s">
        <v>21</v>
      </c>
      <c r="C19" s="45" t="s">
        <v>22</v>
      </c>
      <c r="D19" s="45" t="s">
        <v>23</v>
      </c>
      <c r="G19" s="45" t="s">
        <v>21</v>
      </c>
      <c r="H19" s="45" t="s">
        <v>22</v>
      </c>
    </row>
    <row r="20" spans="1:27" x14ac:dyDescent="0.2">
      <c r="A20" s="46" t="s">
        <v>24</v>
      </c>
      <c r="B20" s="46">
        <v>8</v>
      </c>
      <c r="C20" s="46"/>
      <c r="D20" s="46" t="s">
        <v>94</v>
      </c>
      <c r="G20" s="46">
        <v>5</v>
      </c>
      <c r="H20" s="46"/>
    </row>
    <row r="21" spans="1:27" x14ac:dyDescent="0.2">
      <c r="A21" s="46" t="s">
        <v>25</v>
      </c>
      <c r="B21" s="46">
        <v>0</v>
      </c>
      <c r="C21" s="46">
        <v>16</v>
      </c>
      <c r="D21" s="46" t="s">
        <v>124</v>
      </c>
      <c r="G21" s="46">
        <v>0</v>
      </c>
      <c r="H21" s="46">
        <f>5*2</f>
        <v>10</v>
      </c>
    </row>
    <row r="22" spans="1:27" x14ac:dyDescent="0.2">
      <c r="A22" s="46" t="s">
        <v>28</v>
      </c>
      <c r="B22" s="46">
        <v>0</v>
      </c>
      <c r="C22" s="46">
        <v>0</v>
      </c>
      <c r="D22" s="46" t="s">
        <v>125</v>
      </c>
      <c r="G22" s="46">
        <f>5*3*2</f>
        <v>30</v>
      </c>
      <c r="H22" s="46">
        <v>0</v>
      </c>
    </row>
    <row r="23" spans="1:27" ht="61" x14ac:dyDescent="0.2">
      <c r="A23" s="46" t="s">
        <v>30</v>
      </c>
      <c r="B23" s="46">
        <v>4</v>
      </c>
      <c r="C23" s="46">
        <v>28</v>
      </c>
      <c r="D23" s="47" t="s">
        <v>126</v>
      </c>
      <c r="G23" s="46"/>
      <c r="H23" s="46">
        <f>5*3*2</f>
        <v>30</v>
      </c>
    </row>
    <row r="24" spans="1:27" x14ac:dyDescent="0.2">
      <c r="A24" s="46" t="s">
        <v>32</v>
      </c>
      <c r="B24" s="46">
        <f>SUM(B20:B23)+B10</f>
        <v>53</v>
      </c>
      <c r="C24" s="46">
        <f>SUM(C20:C23)+C10</f>
        <v>78</v>
      </c>
      <c r="D24" s="47"/>
      <c r="G24" s="46">
        <f>SUM(G20:G23)</f>
        <v>35</v>
      </c>
      <c r="H24" s="46">
        <f>SUM(H20:H23)</f>
        <v>40</v>
      </c>
    </row>
    <row r="25" spans="1:27" x14ac:dyDescent="0.2">
      <c r="A25" s="46" t="s">
        <v>127</v>
      </c>
      <c r="B25" s="86">
        <v>30</v>
      </c>
      <c r="C25" s="86">
        <v>50</v>
      </c>
      <c r="D25" s="102" t="s">
        <v>35</v>
      </c>
      <c r="G25">
        <v>40</v>
      </c>
      <c r="H25">
        <v>45</v>
      </c>
    </row>
    <row r="26" spans="1:27" ht="17" thickBot="1" x14ac:dyDescent="0.25">
      <c r="A26" s="48" t="s">
        <v>34</v>
      </c>
      <c r="B26" s="48">
        <f>B25/25</f>
        <v>1.2</v>
      </c>
      <c r="C26" s="49">
        <f>C25/20</f>
        <v>2.5</v>
      </c>
      <c r="D26" s="102"/>
      <c r="G26" s="48">
        <f>G25/25</f>
        <v>1.6</v>
      </c>
      <c r="H26" s="49">
        <f>H25/20</f>
        <v>2.25</v>
      </c>
    </row>
    <row r="27" spans="1:27" ht="17" thickBot="1" x14ac:dyDescent="0.25">
      <c r="A27" s="50" t="s">
        <v>37</v>
      </c>
      <c r="B27" s="51">
        <f>SUM(B26:C26)</f>
        <v>3.7</v>
      </c>
      <c r="C27" s="43"/>
      <c r="D27" s="43"/>
      <c r="G27" s="51">
        <f>SUM(G26:H26)</f>
        <v>3.85</v>
      </c>
      <c r="H27" s="43"/>
      <c r="I27">
        <f>SUM(B27,G27)</f>
        <v>7.5500000000000007</v>
      </c>
    </row>
    <row r="28" spans="1:27" x14ac:dyDescent="0.2">
      <c r="X28" s="100" t="s">
        <v>42</v>
      </c>
      <c r="Y28" s="101"/>
    </row>
    <row r="29" spans="1:27" ht="68" x14ac:dyDescent="0.2">
      <c r="B29">
        <f>30-13</f>
        <v>17</v>
      </c>
      <c r="C29">
        <f>B29*24</f>
        <v>408</v>
      </c>
      <c r="D29">
        <f>600-C29</f>
        <v>192</v>
      </c>
      <c r="U29" s="11" t="s">
        <v>43</v>
      </c>
      <c r="V29" s="11" t="s">
        <v>44</v>
      </c>
      <c r="W29" s="6" t="s">
        <v>45</v>
      </c>
      <c r="X29" s="6" t="s">
        <v>46</v>
      </c>
      <c r="Y29" s="6" t="s">
        <v>47</v>
      </c>
      <c r="Z29" s="6" t="s">
        <v>48</v>
      </c>
      <c r="AA29" s="6" t="s">
        <v>49</v>
      </c>
    </row>
    <row r="30" spans="1:27" ht="17" x14ac:dyDescent="0.2">
      <c r="U30" s="11">
        <v>1</v>
      </c>
      <c r="V30" s="6" t="s">
        <v>3</v>
      </c>
      <c r="W30" s="2">
        <v>0.9</v>
      </c>
      <c r="X30" s="2">
        <v>36.1</v>
      </c>
      <c r="Y30" s="2">
        <f>1300-X30</f>
        <v>1263.9000000000001</v>
      </c>
      <c r="Z30" s="2">
        <v>1.9E-2</v>
      </c>
      <c r="AA30" s="2">
        <v>12.5</v>
      </c>
    </row>
    <row r="31" spans="1:27" ht="18" thickBot="1" x14ac:dyDescent="0.25">
      <c r="A31" s="2" t="s">
        <v>0</v>
      </c>
      <c r="B31" s="3">
        <v>1</v>
      </c>
      <c r="C31" s="3">
        <v>2</v>
      </c>
      <c r="D31" s="3">
        <v>1</v>
      </c>
      <c r="E31" s="3">
        <v>2</v>
      </c>
      <c r="F31" s="3">
        <v>3</v>
      </c>
      <c r="G31" s="3">
        <v>4</v>
      </c>
      <c r="H31" s="3">
        <v>5</v>
      </c>
      <c r="I31" s="3">
        <v>6</v>
      </c>
      <c r="J31" s="3">
        <v>7</v>
      </c>
      <c r="K31" s="3">
        <v>8</v>
      </c>
      <c r="L31" s="3">
        <v>9</v>
      </c>
      <c r="M31" s="3">
        <v>10</v>
      </c>
      <c r="N31" s="3">
        <v>11</v>
      </c>
      <c r="O31" s="3">
        <v>12</v>
      </c>
      <c r="U31" s="11">
        <v>2</v>
      </c>
      <c r="V31" s="20" t="s">
        <v>50</v>
      </c>
      <c r="W31" s="2">
        <v>1.1000000000000001</v>
      </c>
      <c r="X31" s="2">
        <v>29.5</v>
      </c>
      <c r="Y31" s="2">
        <f t="shared" ref="Y31:Y32" si="0">1300-X31</f>
        <v>1270.5</v>
      </c>
      <c r="Z31" s="2">
        <v>0.02</v>
      </c>
      <c r="AA31" s="2">
        <v>12.5</v>
      </c>
    </row>
    <row r="32" spans="1:27" ht="34" x14ac:dyDescent="0.2">
      <c r="A32" s="5" t="s">
        <v>2</v>
      </c>
      <c r="B32" s="6" t="s">
        <v>51</v>
      </c>
      <c r="C32" s="6"/>
      <c r="D32" s="6" t="s">
        <v>51</v>
      </c>
      <c r="E32" s="6"/>
      <c r="F32" s="6"/>
      <c r="G32" s="7"/>
      <c r="H32" s="7"/>
      <c r="I32" s="20"/>
      <c r="J32" s="20"/>
      <c r="K32" s="20"/>
      <c r="L32" s="7"/>
      <c r="M32" s="7"/>
      <c r="N32" s="7"/>
      <c r="O32" s="7"/>
      <c r="U32" s="11">
        <v>3</v>
      </c>
      <c r="V32" s="20" t="s">
        <v>52</v>
      </c>
      <c r="W32" s="2">
        <v>1.27</v>
      </c>
      <c r="X32" s="2">
        <v>25.6</v>
      </c>
      <c r="Y32" s="2">
        <f t="shared" si="0"/>
        <v>1274.4000000000001</v>
      </c>
      <c r="Z32" s="2">
        <v>2.1000000000000001E-2</v>
      </c>
      <c r="AA32" s="2">
        <v>12.5</v>
      </c>
    </row>
    <row r="33" spans="1:15" x14ac:dyDescent="0.2">
      <c r="A33" s="5" t="s">
        <v>5</v>
      </c>
      <c r="B33" s="10">
        <v>0.1</v>
      </c>
      <c r="C33" s="2"/>
      <c r="D33" s="10">
        <v>0.1</v>
      </c>
      <c r="E33" s="2"/>
      <c r="F33" s="6"/>
      <c r="G33" s="6"/>
      <c r="H33" s="6"/>
      <c r="I33" s="6"/>
      <c r="J33" s="6"/>
      <c r="K33" s="6"/>
      <c r="L33" s="6"/>
      <c r="M33" s="6"/>
      <c r="N33" s="11"/>
      <c r="O33" s="2"/>
    </row>
    <row r="34" spans="1:15" x14ac:dyDescent="0.2">
      <c r="A34" s="5" t="s">
        <v>7</v>
      </c>
      <c r="B34" s="7">
        <f>B33/10</f>
        <v>0.01</v>
      </c>
      <c r="C34" s="7"/>
      <c r="D34" s="7">
        <f>D33/10</f>
        <v>0.01</v>
      </c>
      <c r="E34" s="7"/>
      <c r="F34" s="7"/>
      <c r="G34" s="6"/>
      <c r="H34" s="7"/>
      <c r="I34" s="7"/>
      <c r="J34" s="7"/>
      <c r="K34" s="6"/>
      <c r="L34" s="7"/>
      <c r="M34" s="7"/>
      <c r="N34" s="7"/>
      <c r="O34" s="2"/>
    </row>
    <row r="35" spans="1:15" x14ac:dyDescent="0.2">
      <c r="A35" s="5" t="s">
        <v>9</v>
      </c>
      <c r="B35" s="7">
        <f>B34/10</f>
        <v>1E-3</v>
      </c>
      <c r="C35" s="6"/>
      <c r="D35" s="7">
        <f>D34/10</f>
        <v>1E-3</v>
      </c>
      <c r="E35" s="6"/>
      <c r="F35" s="6"/>
      <c r="G35" s="7"/>
      <c r="H35" s="7"/>
      <c r="I35" s="20"/>
      <c r="J35" s="20"/>
      <c r="K35" s="20"/>
      <c r="L35" s="7"/>
      <c r="M35" s="7"/>
      <c r="O35" s="2"/>
    </row>
    <row r="36" spans="1:15" x14ac:dyDescent="0.2">
      <c r="A36" s="5" t="s">
        <v>11</v>
      </c>
      <c r="B36" s="10">
        <v>0.1</v>
      </c>
      <c r="C36" s="12"/>
      <c r="D36" s="10">
        <v>0.1</v>
      </c>
      <c r="E36" s="12"/>
      <c r="F36" s="6"/>
      <c r="G36" s="11"/>
      <c r="H36" s="6"/>
      <c r="I36" s="6"/>
      <c r="J36" s="6"/>
      <c r="K36" s="11"/>
      <c r="L36" s="11"/>
      <c r="M36" s="11"/>
      <c r="N36" s="11"/>
      <c r="O36" s="2"/>
    </row>
    <row r="37" spans="1:15" x14ac:dyDescent="0.2">
      <c r="A37" s="5" t="s">
        <v>13</v>
      </c>
      <c r="B37" s="7">
        <f>B36/10</f>
        <v>0.01</v>
      </c>
      <c r="C37" s="11"/>
      <c r="D37" s="7">
        <f>D36/10</f>
        <v>0.01</v>
      </c>
      <c r="E37" s="11"/>
      <c r="F37" s="6"/>
      <c r="G37" s="11"/>
      <c r="H37" s="2"/>
      <c r="I37" s="11"/>
      <c r="J37" s="21"/>
      <c r="K37" s="11"/>
      <c r="L37" s="11"/>
      <c r="M37" s="11"/>
      <c r="N37" s="11"/>
      <c r="O37" s="2"/>
    </row>
    <row r="38" spans="1:15" x14ac:dyDescent="0.2">
      <c r="A38" s="5" t="s">
        <v>15</v>
      </c>
      <c r="B38" s="7">
        <f>B37/10</f>
        <v>1E-3</v>
      </c>
      <c r="C38" s="12"/>
      <c r="D38" s="7">
        <f>D37/10</f>
        <v>1E-3</v>
      </c>
      <c r="E38" s="12"/>
      <c r="F38" s="6"/>
      <c r="G38" s="6"/>
      <c r="H38" s="6"/>
      <c r="I38" s="6"/>
      <c r="J38" s="6"/>
      <c r="K38" s="2"/>
      <c r="L38" s="6"/>
      <c r="M38" s="6"/>
      <c r="N38" s="6"/>
      <c r="O38" s="6"/>
    </row>
    <row r="39" spans="1:15" x14ac:dyDescent="0.2">
      <c r="A39" s="5" t="s">
        <v>17</v>
      </c>
      <c r="B39" s="10"/>
      <c r="C39" s="12"/>
      <c r="D39" s="10"/>
      <c r="E39" s="12"/>
      <c r="F39" s="6"/>
      <c r="G39" s="2"/>
      <c r="H39" s="2"/>
      <c r="I39" s="2"/>
      <c r="J39" s="9"/>
      <c r="K39" s="2"/>
      <c r="L39" s="2"/>
      <c r="M39" s="2"/>
      <c r="N39" s="2"/>
      <c r="O39" s="2"/>
    </row>
  </sheetData>
  <mergeCells count="3">
    <mergeCell ref="X28:Y28"/>
    <mergeCell ref="D10:D11"/>
    <mergeCell ref="D25:D26"/>
  </mergeCells>
  <pageMargins left="0.7" right="0.7" top="0.75" bottom="0.75" header="0.3" footer="0.3"/>
  <pageSetup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0A7C-E09B-4F01-87CD-1344538A550F}">
  <sheetPr>
    <pageSetUpPr fitToPage="1"/>
  </sheetPr>
  <dimension ref="L1:R18"/>
  <sheetViews>
    <sheetView topLeftCell="I6" zoomScale="190" zoomScaleNormal="190" workbookViewId="0">
      <selection activeCell="L12" sqref="L12:R18"/>
    </sheetView>
  </sheetViews>
  <sheetFormatPr baseColWidth="10" defaultColWidth="10.6640625" defaultRowHeight="16" x14ac:dyDescent="0.2"/>
  <cols>
    <col min="1" max="1" width="10" bestFit="1" customWidth="1"/>
    <col min="2" max="2" width="27.1640625" bestFit="1" customWidth="1"/>
    <col min="3" max="3" width="18.33203125" bestFit="1" customWidth="1"/>
    <col min="4" max="4" width="11.1640625" customWidth="1"/>
    <col min="5" max="5" width="13" customWidth="1"/>
    <col min="6" max="6" width="10.1640625" customWidth="1"/>
    <col min="7" max="7" width="14.83203125" customWidth="1"/>
    <col min="12" max="12" width="5.5" bestFit="1" customWidth="1"/>
    <col min="13" max="13" width="11.1640625" bestFit="1" customWidth="1"/>
    <col min="14" max="14" width="10.1640625" bestFit="1" customWidth="1"/>
    <col min="15" max="15" width="9.5" bestFit="1" customWidth="1"/>
    <col min="16" max="16" width="4.83203125" bestFit="1" customWidth="1"/>
    <col min="17" max="17" width="6.5" bestFit="1" customWidth="1"/>
    <col min="18" max="18" width="9" bestFit="1" customWidth="1"/>
  </cols>
  <sheetData>
    <row r="1" spans="12:18" ht="46" customHeight="1" x14ac:dyDescent="0.2"/>
    <row r="12" spans="12:18" ht="25" x14ac:dyDescent="0.2">
      <c r="L12" s="60"/>
      <c r="M12" s="60"/>
      <c r="N12" s="60"/>
      <c r="O12" s="61" t="s">
        <v>143</v>
      </c>
      <c r="Q12" s="103" t="s">
        <v>142</v>
      </c>
      <c r="R12" s="103"/>
    </row>
    <row r="13" spans="12:18" ht="24" x14ac:dyDescent="0.2">
      <c r="L13" s="62" t="s">
        <v>43</v>
      </c>
      <c r="M13" s="62" t="s">
        <v>44</v>
      </c>
      <c r="N13" s="63" t="s">
        <v>45</v>
      </c>
      <c r="O13" s="63" t="s">
        <v>46</v>
      </c>
      <c r="P13" s="63" t="s">
        <v>48</v>
      </c>
      <c r="Q13" s="63" t="s">
        <v>46</v>
      </c>
      <c r="R13" s="63" t="s">
        <v>113</v>
      </c>
    </row>
    <row r="14" spans="12:18" x14ac:dyDescent="0.2">
      <c r="L14" s="62">
        <v>1</v>
      </c>
      <c r="M14" s="64" t="s">
        <v>3</v>
      </c>
      <c r="N14" s="67">
        <v>3.32</v>
      </c>
      <c r="O14" s="65">
        <f>1000*0.04/N14</f>
        <v>12.048192771084338</v>
      </c>
      <c r="P14" s="64">
        <v>3.6999999999999998E-2</v>
      </c>
      <c r="Q14" s="72">
        <f>(1000*0.0004)/P14</f>
        <v>10.810810810810812</v>
      </c>
      <c r="R14" s="66">
        <f>1000-Q14</f>
        <v>989.18918918918916</v>
      </c>
    </row>
    <row r="15" spans="12:18" x14ac:dyDescent="0.2">
      <c r="L15" s="62">
        <v>2</v>
      </c>
      <c r="M15" s="64" t="s">
        <v>135</v>
      </c>
      <c r="N15" s="67">
        <v>3.07</v>
      </c>
      <c r="O15" s="65">
        <f t="shared" ref="O15:O18" si="0">1000*0.04/N15</f>
        <v>13.029315960912053</v>
      </c>
      <c r="P15" s="64">
        <v>3.5999999999999997E-2</v>
      </c>
      <c r="Q15" s="72">
        <f t="shared" ref="Q15:Q18" si="1">(1000*0.0004)/P15</f>
        <v>11.111111111111112</v>
      </c>
      <c r="R15" s="66">
        <f t="shared" ref="R15:R18" si="2">1000-Q15</f>
        <v>988.88888888888891</v>
      </c>
    </row>
    <row r="16" spans="12:18" x14ac:dyDescent="0.2">
      <c r="L16" s="62">
        <v>3</v>
      </c>
      <c r="M16" s="64" t="s">
        <v>136</v>
      </c>
      <c r="N16" s="67">
        <v>1.52</v>
      </c>
      <c r="O16" s="65">
        <f t="shared" si="0"/>
        <v>26.315789473684209</v>
      </c>
      <c r="P16" s="64">
        <v>4.4999999999999998E-2</v>
      </c>
      <c r="Q16" s="72">
        <f t="shared" si="1"/>
        <v>8.8888888888888893</v>
      </c>
      <c r="R16" s="66">
        <f t="shared" si="2"/>
        <v>991.11111111111109</v>
      </c>
    </row>
    <row r="17" spans="12:18" x14ac:dyDescent="0.2">
      <c r="L17" s="62">
        <v>4</v>
      </c>
      <c r="M17" s="64" t="s">
        <v>138</v>
      </c>
      <c r="N17" s="67">
        <v>1.88</v>
      </c>
      <c r="O17" s="65">
        <f t="shared" si="0"/>
        <v>21.276595744680851</v>
      </c>
      <c r="P17" s="71">
        <v>4.2000000000000003E-2</v>
      </c>
      <c r="Q17" s="72">
        <f t="shared" si="1"/>
        <v>9.5238095238095237</v>
      </c>
      <c r="R17" s="66">
        <f t="shared" si="2"/>
        <v>990.47619047619048</v>
      </c>
    </row>
    <row r="18" spans="12:18" x14ac:dyDescent="0.2">
      <c r="L18" s="62">
        <v>5</v>
      </c>
      <c r="M18" s="64" t="s">
        <v>98</v>
      </c>
      <c r="N18" s="67">
        <v>2.16</v>
      </c>
      <c r="O18" s="65">
        <f t="shared" si="0"/>
        <v>18.518518518518519</v>
      </c>
      <c r="P18" s="64">
        <v>3.6999999999999998E-2</v>
      </c>
      <c r="Q18" s="72">
        <f t="shared" si="1"/>
        <v>10.810810810810812</v>
      </c>
      <c r="R18" s="66">
        <f t="shared" si="2"/>
        <v>989.18918918918916</v>
      </c>
    </row>
  </sheetData>
  <mergeCells count="1">
    <mergeCell ref="Q12:R12"/>
  </mergeCells>
  <pageMargins left="0.7" right="0.7" top="0.75" bottom="0.75" header="0.3" footer="0.3"/>
  <pageSetup scale="56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4700-43F2-4A60-9083-142E0D60CEE8}">
  <sheetPr>
    <pageSetUpPr fitToPage="1"/>
  </sheetPr>
  <dimension ref="A1:O23"/>
  <sheetViews>
    <sheetView showRuler="0" zoomScale="130" zoomScaleNormal="130" workbookViewId="0">
      <selection activeCell="D19" sqref="D19:D23"/>
    </sheetView>
  </sheetViews>
  <sheetFormatPr baseColWidth="10" defaultColWidth="10.6640625" defaultRowHeight="16" x14ac:dyDescent="0.2"/>
  <cols>
    <col min="1" max="1" width="20.83203125" bestFit="1" customWidth="1"/>
    <col min="2" max="2" width="9" bestFit="1" customWidth="1"/>
    <col min="3" max="3" width="9" customWidth="1"/>
    <col min="4" max="4" width="8.6640625" customWidth="1"/>
    <col min="5" max="6" width="6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5" x14ac:dyDescent="0.2">
      <c r="A1" s="23" t="s">
        <v>53</v>
      </c>
      <c r="B1" s="24"/>
      <c r="C1" s="53"/>
      <c r="D1" s="105"/>
      <c r="E1" s="105"/>
      <c r="F1" s="105"/>
    </row>
    <row r="2" spans="1:15" ht="51" x14ac:dyDescent="0.2">
      <c r="A2" s="23"/>
      <c r="B2" s="25" t="s">
        <v>54</v>
      </c>
      <c r="C2" s="23">
        <v>1</v>
      </c>
      <c r="D2" s="23">
        <v>2</v>
      </c>
      <c r="E2" s="23">
        <v>3</v>
      </c>
      <c r="F2" s="26">
        <v>4</v>
      </c>
      <c r="G2" s="27" t="s">
        <v>55</v>
      </c>
      <c r="H2" s="27" t="s">
        <v>56</v>
      </c>
      <c r="I2" s="27" t="s">
        <v>57</v>
      </c>
      <c r="J2" s="27" t="s">
        <v>58</v>
      </c>
      <c r="K2" s="27" t="s">
        <v>59</v>
      </c>
      <c r="L2" s="27" t="s">
        <v>58</v>
      </c>
      <c r="M2" s="28" t="s">
        <v>60</v>
      </c>
      <c r="O2" s="93" t="s">
        <v>53</v>
      </c>
    </row>
    <row r="3" spans="1:15" x14ac:dyDescent="0.2">
      <c r="A3" s="106" t="s">
        <v>3</v>
      </c>
      <c r="B3" s="11" t="s">
        <v>61</v>
      </c>
      <c r="C3" s="14" t="s">
        <v>62</v>
      </c>
      <c r="D3" s="14" t="s">
        <v>62</v>
      </c>
      <c r="E3" s="14" t="s">
        <v>62</v>
      </c>
      <c r="F3" s="33">
        <v>29</v>
      </c>
      <c r="G3" s="14">
        <v>1E-3</v>
      </c>
      <c r="H3" s="15">
        <f>F3/(G3*0.01)</f>
        <v>2899999.9999999995</v>
      </c>
      <c r="I3" s="9">
        <f>AVERAGE(H3:H4)</f>
        <v>3099999.9999999995</v>
      </c>
      <c r="J3" s="9">
        <f>STDEV(H3:H4)</f>
        <v>282842.71247461904</v>
      </c>
      <c r="K3" s="9">
        <f>I3*0.05</f>
        <v>154999.99999999997</v>
      </c>
      <c r="L3" s="9">
        <f>J3*0.05</f>
        <v>14142.135623730952</v>
      </c>
      <c r="M3" s="13">
        <f>K3/$O$3</f>
        <v>7.7499999999999982</v>
      </c>
      <c r="O3" s="1">
        <f>PlateSetup!AA10</f>
        <v>20000</v>
      </c>
    </row>
    <row r="4" spans="1:15" x14ac:dyDescent="0.2">
      <c r="A4" s="106"/>
      <c r="B4" s="11" t="s">
        <v>63</v>
      </c>
      <c r="C4" s="14" t="s">
        <v>62</v>
      </c>
      <c r="D4" s="14" t="s">
        <v>62</v>
      </c>
      <c r="E4" s="14" t="s">
        <v>62</v>
      </c>
      <c r="F4" s="33">
        <v>33</v>
      </c>
      <c r="G4" s="14">
        <v>1E-3</v>
      </c>
      <c r="H4" s="15">
        <f>F4/(G4*0.01)</f>
        <v>3299999.9999999995</v>
      </c>
      <c r="I4" s="9"/>
      <c r="J4" s="9"/>
      <c r="K4" s="9"/>
      <c r="L4" s="9"/>
      <c r="M4" s="13"/>
      <c r="O4" s="1"/>
    </row>
    <row r="5" spans="1:15" x14ac:dyDescent="0.2">
      <c r="A5" s="104" t="s">
        <v>144</v>
      </c>
      <c r="B5" s="54" t="s">
        <v>64</v>
      </c>
      <c r="C5" s="14" t="s">
        <v>62</v>
      </c>
      <c r="D5" s="14" t="s">
        <v>62</v>
      </c>
      <c r="E5" s="14" t="s">
        <v>62</v>
      </c>
      <c r="F5" s="33">
        <v>27</v>
      </c>
      <c r="G5" s="14">
        <v>1E-3</v>
      </c>
      <c r="H5" s="15">
        <f>F5/(G5*0.01)</f>
        <v>2700000</v>
      </c>
      <c r="I5" s="9">
        <f>AVERAGE(H5:H6)</f>
        <v>2235000</v>
      </c>
      <c r="J5" s="9">
        <f>STDEV(H5:H6)</f>
        <v>657609.30650348915</v>
      </c>
      <c r="K5" s="9">
        <f>I5*0.05</f>
        <v>111750</v>
      </c>
      <c r="L5" s="9">
        <f>J5*0.05</f>
        <v>32880.46532517446</v>
      </c>
      <c r="M5" s="13">
        <f>K5/$O$3</f>
        <v>5.5875000000000004</v>
      </c>
    </row>
    <row r="6" spans="1:15" x14ac:dyDescent="0.2">
      <c r="A6" s="104"/>
      <c r="B6" s="54" t="s">
        <v>65</v>
      </c>
      <c r="C6" s="14" t="s">
        <v>62</v>
      </c>
      <c r="D6" s="14" t="s">
        <v>62</v>
      </c>
      <c r="E6" s="14">
        <v>177</v>
      </c>
      <c r="F6" s="33">
        <v>14</v>
      </c>
      <c r="G6" s="14">
        <v>0.01</v>
      </c>
      <c r="H6" s="15">
        <f>E6/(G6*0.01)</f>
        <v>1770000</v>
      </c>
      <c r="I6" s="22"/>
      <c r="J6" s="22"/>
      <c r="K6" s="9"/>
      <c r="L6" s="9"/>
      <c r="M6" s="13"/>
    </row>
    <row r="7" spans="1:15" ht="16" customHeight="1" x14ac:dyDescent="0.2">
      <c r="A7" s="104" t="s">
        <v>145</v>
      </c>
      <c r="B7" s="11" t="s">
        <v>66</v>
      </c>
      <c r="C7" s="14" t="s">
        <v>62</v>
      </c>
      <c r="D7" s="14" t="s">
        <v>62</v>
      </c>
      <c r="E7" s="14" t="s">
        <v>62</v>
      </c>
      <c r="F7" s="33">
        <v>38</v>
      </c>
      <c r="G7" s="14">
        <v>1E-3</v>
      </c>
      <c r="H7" s="15">
        <f t="shared" ref="H7:H8" si="0">F7/(G7*0.01)</f>
        <v>3799999.9999999995</v>
      </c>
      <c r="I7" s="9">
        <f>AVERAGE(H7:H9)</f>
        <v>3566666.666666666</v>
      </c>
      <c r="J7" s="9">
        <f>STDEV(H7:H8)</f>
        <v>0</v>
      </c>
      <c r="K7" s="9">
        <f>I7*0.05</f>
        <v>178333.33333333331</v>
      </c>
      <c r="L7" s="9">
        <f>J7*0.05</f>
        <v>0</v>
      </c>
      <c r="M7" s="13">
        <f>K7/$O$3</f>
        <v>8.9166666666666661</v>
      </c>
    </row>
    <row r="8" spans="1:15" x14ac:dyDescent="0.2">
      <c r="A8" s="104"/>
      <c r="B8" s="11" t="s">
        <v>67</v>
      </c>
      <c r="C8" s="14" t="s">
        <v>62</v>
      </c>
      <c r="D8" s="14" t="s">
        <v>62</v>
      </c>
      <c r="E8" s="14" t="s">
        <v>62</v>
      </c>
      <c r="F8" s="33">
        <v>38</v>
      </c>
      <c r="G8" s="14">
        <v>1E-3</v>
      </c>
      <c r="H8" s="15">
        <f t="shared" si="0"/>
        <v>3799999.9999999995</v>
      </c>
      <c r="I8" s="22"/>
      <c r="J8" s="22"/>
      <c r="K8" s="9"/>
      <c r="L8" s="9"/>
      <c r="M8" s="13"/>
    </row>
    <row r="9" spans="1:15" ht="16" customHeight="1" x14ac:dyDescent="0.2">
      <c r="A9" s="104"/>
      <c r="B9" s="73" t="s">
        <v>81</v>
      </c>
      <c r="C9" s="2"/>
      <c r="D9" s="2"/>
      <c r="E9" s="2"/>
      <c r="F9" s="92">
        <v>31</v>
      </c>
      <c r="G9" s="14">
        <v>1E-3</v>
      </c>
      <c r="H9" s="15">
        <f t="shared" ref="H9:H14" si="1">F9/(G9*0.01)</f>
        <v>3099999.9999999995</v>
      </c>
    </row>
    <row r="10" spans="1:15" x14ac:dyDescent="0.2">
      <c r="A10" s="104" t="s">
        <v>146</v>
      </c>
      <c r="B10" s="11" t="s">
        <v>95</v>
      </c>
      <c r="C10" s="14" t="s">
        <v>62</v>
      </c>
      <c r="D10" s="14" t="s">
        <v>62</v>
      </c>
      <c r="E10" s="14" t="s">
        <v>62</v>
      </c>
      <c r="F10" s="33">
        <v>41</v>
      </c>
      <c r="G10" s="14">
        <v>1E-3</v>
      </c>
      <c r="H10" s="15">
        <f t="shared" si="1"/>
        <v>4099999.9999999995</v>
      </c>
      <c r="I10" s="9">
        <f>AVERAGE(H10:H11)</f>
        <v>3849999.9999999995</v>
      </c>
      <c r="J10" s="9">
        <f>STDEV(H10:H11)</f>
        <v>353553.39059327374</v>
      </c>
      <c r="K10" s="9">
        <f>I10*0.05</f>
        <v>192500</v>
      </c>
      <c r="L10" s="9">
        <f>J10*0.05</f>
        <v>17677.669529663686</v>
      </c>
      <c r="M10" s="13">
        <f>K10/$O$3</f>
        <v>9.625</v>
      </c>
    </row>
    <row r="11" spans="1:15" ht="16" customHeight="1" x14ac:dyDescent="0.2">
      <c r="A11" s="104"/>
      <c r="B11" s="11" t="s">
        <v>96</v>
      </c>
      <c r="C11" s="14" t="s">
        <v>62</v>
      </c>
      <c r="D11" s="14" t="s">
        <v>62</v>
      </c>
      <c r="E11" s="14" t="s">
        <v>62</v>
      </c>
      <c r="F11" s="33">
        <v>36</v>
      </c>
      <c r="G11" s="14">
        <v>1E-3</v>
      </c>
      <c r="H11" s="15">
        <f t="shared" si="1"/>
        <v>3599999.9999999995</v>
      </c>
      <c r="I11" s="22"/>
      <c r="J11" s="22"/>
      <c r="K11" s="9"/>
      <c r="L11" s="9"/>
      <c r="M11" s="13"/>
    </row>
    <row r="12" spans="1:15" ht="16" customHeight="1" x14ac:dyDescent="0.2">
      <c r="A12" s="104" t="s">
        <v>105</v>
      </c>
      <c r="B12" s="11" t="s">
        <v>102</v>
      </c>
      <c r="C12" s="14" t="s">
        <v>62</v>
      </c>
      <c r="D12" s="14" t="s">
        <v>62</v>
      </c>
      <c r="E12" s="14" t="s">
        <v>62</v>
      </c>
      <c r="F12" s="33">
        <v>23</v>
      </c>
      <c r="G12" s="14">
        <v>1E-3</v>
      </c>
      <c r="H12" s="15">
        <f t="shared" si="1"/>
        <v>2300000</v>
      </c>
      <c r="I12" s="9">
        <f>AVERAGE(H12:H14)</f>
        <v>2133333.3333333335</v>
      </c>
      <c r="J12" s="9">
        <f>STDEV(H12:H13)</f>
        <v>353553.3905932724</v>
      </c>
      <c r="K12" s="9">
        <f>I12*0.05</f>
        <v>106666.66666666669</v>
      </c>
      <c r="L12" s="9">
        <f>J12*0.05</f>
        <v>17677.669529663621</v>
      </c>
      <c r="M12" s="13">
        <f>K12/$O$3</f>
        <v>5.3333333333333339</v>
      </c>
    </row>
    <row r="13" spans="1:15" x14ac:dyDescent="0.2">
      <c r="A13" s="104"/>
      <c r="B13" s="11" t="s">
        <v>103</v>
      </c>
      <c r="C13" s="14" t="s">
        <v>62</v>
      </c>
      <c r="D13" s="14" t="s">
        <v>62</v>
      </c>
      <c r="E13" s="14" t="s">
        <v>62</v>
      </c>
      <c r="F13" s="74">
        <v>18</v>
      </c>
      <c r="G13" s="14">
        <v>1E-3</v>
      </c>
      <c r="H13" s="15">
        <f t="shared" si="1"/>
        <v>1799999.9999999998</v>
      </c>
      <c r="I13" s="22"/>
      <c r="J13" s="22"/>
      <c r="K13" s="9"/>
      <c r="L13" s="9"/>
      <c r="M13" s="13"/>
    </row>
    <row r="14" spans="1:15" x14ac:dyDescent="0.2">
      <c r="A14" s="104"/>
      <c r="B14" s="2"/>
      <c r="C14" s="2"/>
      <c r="D14" s="2"/>
      <c r="E14" s="2"/>
      <c r="F14" s="92">
        <v>23</v>
      </c>
      <c r="G14" s="14">
        <v>1E-3</v>
      </c>
      <c r="H14" s="15">
        <f t="shared" si="1"/>
        <v>2300000</v>
      </c>
    </row>
    <row r="15" spans="1:15" x14ac:dyDescent="0.2">
      <c r="A15" s="2" t="s">
        <v>68</v>
      </c>
      <c r="B15" s="2"/>
      <c r="C15" s="2">
        <v>1</v>
      </c>
      <c r="D15" s="2">
        <v>0.1</v>
      </c>
      <c r="E15" s="2">
        <f>D15/10</f>
        <v>0.01</v>
      </c>
      <c r="F15" s="2">
        <f>E15/10</f>
        <v>1E-3</v>
      </c>
      <c r="G15" s="14"/>
    </row>
    <row r="18" spans="1:4" ht="16" customHeight="1" x14ac:dyDescent="0.2">
      <c r="A18" s="2" t="s">
        <v>44</v>
      </c>
      <c r="B18" s="2" t="s">
        <v>59</v>
      </c>
      <c r="C18" s="2" t="s">
        <v>58</v>
      </c>
      <c r="D18" s="76" t="s">
        <v>29</v>
      </c>
    </row>
    <row r="19" spans="1:4" x14ac:dyDescent="0.2">
      <c r="A19" s="2" t="s">
        <v>3</v>
      </c>
      <c r="B19" s="9">
        <f>K3</f>
        <v>154999.99999999997</v>
      </c>
      <c r="C19" s="9">
        <f>L3</f>
        <v>14142.135623730952</v>
      </c>
      <c r="D19" s="13">
        <f>M3</f>
        <v>7.7499999999999982</v>
      </c>
    </row>
    <row r="20" spans="1:4" x14ac:dyDescent="0.2">
      <c r="A20" s="2" t="s">
        <v>151</v>
      </c>
      <c r="B20" s="9">
        <f>K5</f>
        <v>111750</v>
      </c>
      <c r="C20" s="9">
        <f>L5</f>
        <v>32880.46532517446</v>
      </c>
      <c r="D20" s="13">
        <f>M5</f>
        <v>5.5875000000000004</v>
      </c>
    </row>
    <row r="21" spans="1:4" x14ac:dyDescent="0.2">
      <c r="A21" s="2" t="s">
        <v>152</v>
      </c>
      <c r="B21" s="9">
        <f>K7</f>
        <v>178333.33333333331</v>
      </c>
      <c r="C21" s="9">
        <f>L7</f>
        <v>0</v>
      </c>
      <c r="D21" s="13">
        <f>M7</f>
        <v>8.9166666666666661</v>
      </c>
    </row>
    <row r="22" spans="1:4" x14ac:dyDescent="0.2">
      <c r="A22" s="2" t="s">
        <v>153</v>
      </c>
      <c r="B22" s="9">
        <f>K10</f>
        <v>192500</v>
      </c>
      <c r="C22" s="9">
        <f>L10</f>
        <v>17677.669529663686</v>
      </c>
      <c r="D22" s="13">
        <f>M10</f>
        <v>9.625</v>
      </c>
    </row>
    <row r="23" spans="1:4" x14ac:dyDescent="0.2">
      <c r="A23" s="2" t="s">
        <v>104</v>
      </c>
      <c r="B23" s="9">
        <f>K12</f>
        <v>106666.66666666669</v>
      </c>
      <c r="C23" s="9">
        <f>L12</f>
        <v>17677.669529663621</v>
      </c>
      <c r="D23" s="13">
        <f>M12</f>
        <v>5.3333333333333339</v>
      </c>
    </row>
  </sheetData>
  <mergeCells count="6">
    <mergeCell ref="A12:A14"/>
    <mergeCell ref="D1:F1"/>
    <mergeCell ref="A3:A4"/>
    <mergeCell ref="A10:A11"/>
    <mergeCell ref="A5:A6"/>
    <mergeCell ref="A7:A9"/>
  </mergeCells>
  <pageMargins left="0.75" right="0.75" top="1" bottom="1" header="0.5" footer="0.5"/>
  <pageSetup scale="60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FC96-511D-4F07-A849-4459F95A19A4}">
  <sheetPr>
    <pageSetUpPr fitToPage="1"/>
  </sheetPr>
  <dimension ref="A1:Z34"/>
  <sheetViews>
    <sheetView showRuler="0" topLeftCell="D1" zoomScale="130" zoomScaleNormal="130" workbookViewId="0">
      <selection activeCell="C18" sqref="C18"/>
    </sheetView>
  </sheetViews>
  <sheetFormatPr baseColWidth="10" defaultColWidth="10.6640625" defaultRowHeight="16" x14ac:dyDescent="0.2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8.33203125" bestFit="1" customWidth="1"/>
    <col min="7" max="7" width="8.83203125" bestFit="1" customWidth="1"/>
    <col min="8" max="8" width="8.1640625" customWidth="1"/>
    <col min="10" max="10" width="2.1640625" bestFit="1" customWidth="1"/>
    <col min="11" max="11" width="20.83203125" customWidth="1"/>
    <col min="12" max="13" width="8.83203125" bestFit="1" customWidth="1"/>
    <col min="14" max="14" width="7.6640625" bestFit="1" customWidth="1"/>
    <col min="15" max="15" width="7.5" bestFit="1" customWidth="1"/>
    <col min="16" max="16" width="7.33203125" bestFit="1" customWidth="1"/>
  </cols>
  <sheetData>
    <row r="1" spans="1:26" x14ac:dyDescent="0.2">
      <c r="A1" s="4"/>
      <c r="B1" s="4"/>
      <c r="E1" s="4"/>
      <c r="F1" s="4"/>
      <c r="G1" s="24"/>
      <c r="H1" s="24"/>
      <c r="I1" s="24"/>
      <c r="J1" s="42"/>
      <c r="K1" s="30"/>
      <c r="L1" s="30"/>
      <c r="M1" s="31"/>
      <c r="N1" s="31"/>
    </row>
    <row r="2" spans="1:26" ht="51" x14ac:dyDescent="0.2">
      <c r="A2" s="23"/>
      <c r="B2" s="32" t="s">
        <v>69</v>
      </c>
      <c r="C2" s="32" t="s">
        <v>70</v>
      </c>
      <c r="D2" s="32" t="s">
        <v>71</v>
      </c>
      <c r="E2" s="28" t="s">
        <v>55</v>
      </c>
      <c r="F2" s="28" t="s">
        <v>72</v>
      </c>
      <c r="G2" s="28" t="s">
        <v>73</v>
      </c>
      <c r="H2" s="28" t="s">
        <v>74</v>
      </c>
      <c r="J2" s="29" t="s">
        <v>92</v>
      </c>
      <c r="K2" s="2"/>
      <c r="L2" s="27" t="s">
        <v>75</v>
      </c>
      <c r="M2" s="23" t="s">
        <v>76</v>
      </c>
      <c r="N2" s="87" t="s">
        <v>77</v>
      </c>
      <c r="O2" s="32" t="s">
        <v>74</v>
      </c>
      <c r="P2" s="28" t="s">
        <v>78</v>
      </c>
    </row>
    <row r="3" spans="1:26" x14ac:dyDescent="0.2">
      <c r="A3" s="107" t="s">
        <v>3</v>
      </c>
      <c r="B3" s="73" t="s">
        <v>61</v>
      </c>
      <c r="C3" s="74">
        <v>28</v>
      </c>
      <c r="D3" s="74">
        <v>14</v>
      </c>
      <c r="E3" s="56">
        <v>1</v>
      </c>
      <c r="F3" s="75">
        <f t="shared" ref="F3:F17" si="0">AVERAGE(C3,D3)</f>
        <v>21</v>
      </c>
      <c r="G3" s="57">
        <f>(F3/(0.05*E3))*0.2</f>
        <v>84</v>
      </c>
      <c r="H3" s="108"/>
      <c r="I3" s="1"/>
      <c r="J3" s="77">
        <v>1</v>
      </c>
      <c r="K3" s="2" t="s">
        <v>3</v>
      </c>
      <c r="L3" s="57">
        <f>AVERAGE(G3:G5)</f>
        <v>62.666666666666664</v>
      </c>
      <c r="M3" s="57">
        <f>STDEV(G3:G5)</f>
        <v>27.227437142216179</v>
      </c>
      <c r="N3" s="13">
        <v>7.7499999999999982</v>
      </c>
      <c r="O3" s="78"/>
      <c r="P3" s="79"/>
      <c r="Q3" s="37"/>
      <c r="S3" s="1"/>
      <c r="U3" s="1"/>
      <c r="V3" s="1"/>
      <c r="W3" s="1"/>
      <c r="X3" s="1"/>
      <c r="Y3" s="1"/>
      <c r="Z3" s="1"/>
    </row>
    <row r="4" spans="1:26" x14ac:dyDescent="0.2">
      <c r="A4" s="107"/>
      <c r="B4" s="73" t="s">
        <v>63</v>
      </c>
      <c r="C4" s="74">
        <v>26</v>
      </c>
      <c r="D4" s="74">
        <v>10</v>
      </c>
      <c r="E4" s="56">
        <v>1</v>
      </c>
      <c r="F4" s="75">
        <f t="shared" si="0"/>
        <v>18</v>
      </c>
      <c r="G4" s="57">
        <f t="shared" ref="G4:G17" si="1">(F4/(0.05*E4))*0.2</f>
        <v>72</v>
      </c>
      <c r="H4" s="108"/>
      <c r="J4" s="80">
        <v>2</v>
      </c>
      <c r="K4" s="2" t="s">
        <v>151</v>
      </c>
      <c r="L4" s="57">
        <f>AVERAGE(G6:G8)</f>
        <v>43.333333333333336</v>
      </c>
      <c r="M4" s="57">
        <f>STDEV(G6:G8)</f>
        <v>9.865765724632503</v>
      </c>
      <c r="N4" s="13">
        <v>5.5875000000000004</v>
      </c>
      <c r="O4" s="78">
        <f>H6</f>
        <v>0.31191404794994804</v>
      </c>
      <c r="P4" s="79">
        <f>IF(L4/$L$3&gt;=1,L4/$L$3,-$L$3/L4)</f>
        <v>-1.4461538461538461</v>
      </c>
      <c r="Q4" s="37"/>
    </row>
    <row r="5" spans="1:26" x14ac:dyDescent="0.2">
      <c r="A5" s="107"/>
      <c r="B5" s="73" t="s">
        <v>79</v>
      </c>
      <c r="C5" s="74">
        <v>5</v>
      </c>
      <c r="D5" s="74">
        <v>11</v>
      </c>
      <c r="E5" s="56">
        <v>1</v>
      </c>
      <c r="F5" s="75">
        <f t="shared" si="0"/>
        <v>8</v>
      </c>
      <c r="G5" s="57">
        <f t="shared" si="1"/>
        <v>32</v>
      </c>
      <c r="H5" s="108"/>
      <c r="J5" s="80">
        <v>3</v>
      </c>
      <c r="K5" s="2" t="s">
        <v>152</v>
      </c>
      <c r="L5" s="57">
        <f>AVERAGE(G9:G11)</f>
        <v>76.666666666666671</v>
      </c>
      <c r="M5" s="57">
        <f>STDEV(G9:G11)</f>
        <v>13.012814197295446</v>
      </c>
      <c r="N5" s="13">
        <v>8.9166666666666661</v>
      </c>
      <c r="O5" s="78">
        <f>H9</f>
        <v>0.46669657930647496</v>
      </c>
      <c r="P5" s="79">
        <f t="shared" ref="P5:P7" si="2">IF(L5/$L$3&gt;=1,L5/$L$3,-$L$3/L5)</f>
        <v>1.2234042553191491</v>
      </c>
      <c r="Q5" s="37"/>
    </row>
    <row r="6" spans="1:26" ht="15" customHeight="1" x14ac:dyDescent="0.2">
      <c r="A6" s="104" t="s">
        <v>150</v>
      </c>
      <c r="B6" s="11" t="s">
        <v>64</v>
      </c>
      <c r="C6" s="33">
        <v>15</v>
      </c>
      <c r="D6" s="33">
        <v>10</v>
      </c>
      <c r="E6" s="14">
        <v>1</v>
      </c>
      <c r="F6" s="2">
        <f t="shared" si="0"/>
        <v>12.5</v>
      </c>
      <c r="G6" s="9">
        <f t="shared" si="1"/>
        <v>50</v>
      </c>
      <c r="H6" s="109">
        <f>TTEST(G6:G8,G$3:G$5,2,2)</f>
        <v>0.31191404794994804</v>
      </c>
      <c r="J6" s="80">
        <v>4</v>
      </c>
      <c r="K6" s="2" t="s">
        <v>153</v>
      </c>
      <c r="L6" s="57">
        <f>AVERAGE(G12:G14)</f>
        <v>79.333333333333329</v>
      </c>
      <c r="M6" s="57">
        <f>STDEV(G12:G14)</f>
        <v>16.16580753730954</v>
      </c>
      <c r="N6" s="13">
        <v>9.625</v>
      </c>
      <c r="O6" s="78">
        <f>H12</f>
        <v>0.41352233473090277</v>
      </c>
      <c r="P6" s="79">
        <f t="shared" si="2"/>
        <v>1.2659574468085106</v>
      </c>
      <c r="Q6" s="37"/>
    </row>
    <row r="7" spans="1:26" ht="15" customHeight="1" x14ac:dyDescent="0.2">
      <c r="A7" s="104"/>
      <c r="B7" s="11" t="s">
        <v>65</v>
      </c>
      <c r="C7" s="33">
        <v>8</v>
      </c>
      <c r="D7" s="33">
        <v>16</v>
      </c>
      <c r="E7" s="14">
        <v>1</v>
      </c>
      <c r="F7" s="2">
        <f t="shared" si="0"/>
        <v>12</v>
      </c>
      <c r="G7" s="9">
        <f t="shared" si="1"/>
        <v>48</v>
      </c>
      <c r="H7" s="109"/>
      <c r="J7" s="80">
        <v>5</v>
      </c>
      <c r="K7" s="2" t="s">
        <v>104</v>
      </c>
      <c r="L7" s="57">
        <f>AVERAGE(G15:G17)</f>
        <v>38</v>
      </c>
      <c r="M7" s="57">
        <f>STDEV(G15:G17)</f>
        <v>19.078784028338912</v>
      </c>
      <c r="N7" s="13">
        <v>5.3333333333333339</v>
      </c>
      <c r="O7" s="78">
        <f>H15</f>
        <v>0.26813320654192313</v>
      </c>
      <c r="P7" s="79">
        <f t="shared" si="2"/>
        <v>-1.6491228070175439</v>
      </c>
      <c r="Q7" s="37"/>
    </row>
    <row r="8" spans="1:26" x14ac:dyDescent="0.2">
      <c r="A8" s="104"/>
      <c r="B8" s="11" t="s">
        <v>80</v>
      </c>
      <c r="C8" s="33">
        <v>10</v>
      </c>
      <c r="D8" s="33">
        <v>6</v>
      </c>
      <c r="E8" s="14">
        <v>1</v>
      </c>
      <c r="F8" s="2">
        <f t="shared" si="0"/>
        <v>8</v>
      </c>
      <c r="G8" s="9">
        <f t="shared" si="1"/>
        <v>32</v>
      </c>
      <c r="H8" s="109"/>
      <c r="K8" s="38"/>
      <c r="L8" s="36"/>
      <c r="M8" s="36"/>
      <c r="N8" s="39"/>
      <c r="O8" s="41"/>
      <c r="P8" s="40"/>
      <c r="Q8" s="37"/>
    </row>
    <row r="9" spans="1:26" ht="15" customHeight="1" x14ac:dyDescent="0.2">
      <c r="A9" s="104" t="s">
        <v>148</v>
      </c>
      <c r="B9" s="11" t="s">
        <v>66</v>
      </c>
      <c r="C9" s="33">
        <v>17</v>
      </c>
      <c r="D9" s="33">
        <v>21</v>
      </c>
      <c r="E9" s="14">
        <v>1</v>
      </c>
      <c r="F9" s="2">
        <f t="shared" ref="F9:F14" si="3">AVERAGE(C9,D9)</f>
        <v>19</v>
      </c>
      <c r="G9" s="9">
        <f t="shared" ref="G9:G14" si="4">(F9/(0.05*E9))*0.2</f>
        <v>76</v>
      </c>
      <c r="H9" s="109">
        <f>TTEST(G9:G11,G$3:G$5,2,2)</f>
        <v>0.46669657930647496</v>
      </c>
      <c r="K9" s="38"/>
      <c r="L9" s="36"/>
      <c r="M9" s="36"/>
      <c r="N9" s="39"/>
      <c r="O9" s="41"/>
      <c r="P9" s="40"/>
      <c r="Q9" s="37"/>
    </row>
    <row r="10" spans="1:26" x14ac:dyDescent="0.2">
      <c r="A10" s="104"/>
      <c r="B10" s="11" t="s">
        <v>67</v>
      </c>
      <c r="C10" s="33">
        <v>21</v>
      </c>
      <c r="D10" s="33">
        <v>24</v>
      </c>
      <c r="E10" s="14">
        <v>1</v>
      </c>
      <c r="F10" s="2">
        <f t="shared" si="3"/>
        <v>22.5</v>
      </c>
      <c r="G10" s="9">
        <f t="shared" si="4"/>
        <v>90</v>
      </c>
      <c r="H10" s="109"/>
      <c r="Q10" s="37"/>
    </row>
    <row r="11" spans="1:26" ht="15" customHeight="1" x14ac:dyDescent="0.2">
      <c r="A11" s="104"/>
      <c r="B11" s="11" t="s">
        <v>81</v>
      </c>
      <c r="C11" s="33">
        <v>20</v>
      </c>
      <c r="D11" s="33">
        <v>12</v>
      </c>
      <c r="E11" s="14">
        <v>1</v>
      </c>
      <c r="F11" s="2">
        <f t="shared" si="3"/>
        <v>16</v>
      </c>
      <c r="G11" s="9">
        <f t="shared" si="4"/>
        <v>64</v>
      </c>
      <c r="H11" s="109"/>
      <c r="K11" s="38"/>
      <c r="L11" s="36"/>
      <c r="M11" s="36"/>
      <c r="N11" s="39"/>
      <c r="O11" s="41"/>
      <c r="P11" s="40"/>
      <c r="Q11" s="37"/>
    </row>
    <row r="12" spans="1:26" ht="15" customHeight="1" x14ac:dyDescent="0.2">
      <c r="A12" s="104" t="s">
        <v>149</v>
      </c>
      <c r="B12" s="11" t="s">
        <v>95</v>
      </c>
      <c r="C12" s="33">
        <v>27</v>
      </c>
      <c r="D12" s="33">
        <v>20</v>
      </c>
      <c r="E12" s="14">
        <v>1</v>
      </c>
      <c r="F12" s="2">
        <f t="shared" si="3"/>
        <v>23.5</v>
      </c>
      <c r="G12" s="9">
        <f t="shared" si="4"/>
        <v>94</v>
      </c>
      <c r="H12" s="109">
        <f>TTEST(G12:G14,G$3:G$5,2,2)</f>
        <v>0.41352233473090277</v>
      </c>
      <c r="K12" s="38"/>
      <c r="L12" s="36"/>
      <c r="M12" s="36"/>
      <c r="N12" s="39"/>
      <c r="O12" s="41"/>
      <c r="P12" s="40"/>
      <c r="Q12" s="37"/>
    </row>
    <row r="13" spans="1:26" x14ac:dyDescent="0.2">
      <c r="A13" s="104"/>
      <c r="B13" s="11" t="s">
        <v>96</v>
      </c>
      <c r="C13" s="33">
        <v>22</v>
      </c>
      <c r="D13" s="33">
        <v>19</v>
      </c>
      <c r="E13" s="14">
        <v>1</v>
      </c>
      <c r="F13" s="2">
        <f t="shared" si="3"/>
        <v>20.5</v>
      </c>
      <c r="G13" s="9">
        <f t="shared" si="4"/>
        <v>82</v>
      </c>
      <c r="H13" s="109"/>
      <c r="Q13" s="37"/>
    </row>
    <row r="14" spans="1:26" ht="15" customHeight="1" x14ac:dyDescent="0.2">
      <c r="A14" s="104"/>
      <c r="B14" s="11" t="s">
        <v>97</v>
      </c>
      <c r="C14" s="33">
        <v>11</v>
      </c>
      <c r="D14" s="33">
        <v>20</v>
      </c>
      <c r="E14" s="14">
        <v>1</v>
      </c>
      <c r="F14" s="2">
        <f t="shared" si="3"/>
        <v>15.5</v>
      </c>
      <c r="G14" s="9">
        <f t="shared" si="4"/>
        <v>62</v>
      </c>
      <c r="H14" s="109"/>
      <c r="K14" s="38"/>
      <c r="L14" s="36"/>
      <c r="M14" s="36"/>
      <c r="N14" s="39"/>
      <c r="O14" s="41"/>
      <c r="P14" s="40"/>
      <c r="Q14" s="37"/>
    </row>
    <row r="15" spans="1:26" ht="15" customHeight="1" x14ac:dyDescent="0.2">
      <c r="A15" s="110" t="s">
        <v>105</v>
      </c>
      <c r="B15" s="11" t="s">
        <v>102</v>
      </c>
      <c r="C15" s="33">
        <v>19</v>
      </c>
      <c r="D15" s="33">
        <v>11</v>
      </c>
      <c r="E15" s="14">
        <v>1</v>
      </c>
      <c r="F15" s="2">
        <f t="shared" si="0"/>
        <v>15</v>
      </c>
      <c r="G15" s="9">
        <f t="shared" si="1"/>
        <v>60</v>
      </c>
      <c r="H15" s="109">
        <f>TTEST(G15:G17,G$3:G$5,2,2)</f>
        <v>0.26813320654192313</v>
      </c>
      <c r="K15" s="38"/>
      <c r="L15" s="36"/>
      <c r="M15" s="36"/>
      <c r="N15" s="39"/>
      <c r="O15" s="41"/>
      <c r="P15" s="40"/>
      <c r="Q15" s="37"/>
    </row>
    <row r="16" spans="1:26" x14ac:dyDescent="0.2">
      <c r="A16" s="110"/>
      <c r="B16" s="11" t="s">
        <v>103</v>
      </c>
      <c r="C16" s="33">
        <v>4</v>
      </c>
      <c r="D16" s="33">
        <v>9</v>
      </c>
      <c r="E16" s="14">
        <v>1</v>
      </c>
      <c r="F16" s="2">
        <f t="shared" si="0"/>
        <v>6.5</v>
      </c>
      <c r="G16" s="9">
        <f t="shared" si="1"/>
        <v>26</v>
      </c>
      <c r="H16" s="109"/>
      <c r="Q16" s="37"/>
    </row>
    <row r="17" spans="1:26" ht="15" customHeight="1" x14ac:dyDescent="0.2">
      <c r="A17" s="110"/>
      <c r="B17" s="11" t="s">
        <v>114</v>
      </c>
      <c r="C17" s="33">
        <v>7</v>
      </c>
      <c r="D17" s="33">
        <v>7</v>
      </c>
      <c r="E17" s="14">
        <v>1</v>
      </c>
      <c r="F17" s="2">
        <f t="shared" si="0"/>
        <v>7</v>
      </c>
      <c r="G17" s="9">
        <f t="shared" si="1"/>
        <v>28</v>
      </c>
      <c r="H17" s="109"/>
      <c r="K17" s="38"/>
      <c r="L17" s="36"/>
      <c r="M17" s="36"/>
      <c r="N17" s="39"/>
      <c r="O17" s="41"/>
      <c r="P17" s="40"/>
      <c r="Q17" s="37"/>
    </row>
    <row r="18" spans="1:26" ht="15" customHeight="1" x14ac:dyDescent="0.2">
      <c r="A18" s="34" t="s">
        <v>82</v>
      </c>
      <c r="H18" s="1"/>
      <c r="K18" s="38"/>
      <c r="L18" s="36"/>
      <c r="M18" s="36"/>
      <c r="N18" s="39"/>
      <c r="O18" s="41"/>
      <c r="P18" s="40"/>
      <c r="Q18" s="37"/>
    </row>
    <row r="19" spans="1:26" x14ac:dyDescent="0.2">
      <c r="Q19" s="37"/>
    </row>
    <row r="20" spans="1:26" ht="15" customHeight="1" x14ac:dyDescent="0.2">
      <c r="Q20" s="37"/>
    </row>
    <row r="21" spans="1:26" ht="16" customHeight="1" x14ac:dyDescent="0.2">
      <c r="J21" s="1"/>
      <c r="K21" s="1"/>
      <c r="Q21" s="37"/>
    </row>
    <row r="22" spans="1:26" ht="15" customHeight="1" x14ac:dyDescent="0.2"/>
    <row r="23" spans="1:26" x14ac:dyDescent="0.2">
      <c r="Q23" s="39"/>
      <c r="S23" s="1"/>
      <c r="U23" s="1"/>
      <c r="V23" s="1"/>
    </row>
    <row r="24" spans="1:26" ht="16" customHeight="1" x14ac:dyDescent="0.2">
      <c r="I24" s="1"/>
      <c r="Q24" s="39"/>
      <c r="W24" s="1"/>
      <c r="X24" s="1"/>
      <c r="Y24" s="1"/>
      <c r="Z24" s="1"/>
    </row>
    <row r="25" spans="1:26" x14ac:dyDescent="0.2">
      <c r="Q25" s="39"/>
    </row>
    <row r="26" spans="1:26" x14ac:dyDescent="0.2">
      <c r="Q26" s="39"/>
    </row>
    <row r="27" spans="1:26" ht="15" customHeight="1" x14ac:dyDescent="0.2"/>
    <row r="28" spans="1:26" ht="15" customHeight="1" x14ac:dyDescent="0.2"/>
    <row r="30" spans="1:26" ht="15" customHeight="1" x14ac:dyDescent="0.2"/>
    <row r="32" spans="1:26" ht="15" customHeight="1" x14ac:dyDescent="0.2"/>
    <row r="34" ht="15" customHeight="1" x14ac:dyDescent="0.2"/>
  </sheetData>
  <mergeCells count="10">
    <mergeCell ref="A3:A5"/>
    <mergeCell ref="H3:H5"/>
    <mergeCell ref="A6:A8"/>
    <mergeCell ref="H6:H8"/>
    <mergeCell ref="A15:A17"/>
    <mergeCell ref="H15:H17"/>
    <mergeCell ref="A9:A11"/>
    <mergeCell ref="H9:H11"/>
    <mergeCell ref="A12:A14"/>
    <mergeCell ref="H12:H14"/>
  </mergeCells>
  <pageMargins left="0.75" right="0.75" top="1" bottom="1" header="0.5" footer="0.5"/>
  <pageSetup scale="56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F100-489B-4A0B-A53D-12957D12D2FB}">
  <sheetPr>
    <pageSetUpPr fitToPage="1"/>
  </sheetPr>
  <dimension ref="A2:AN56"/>
  <sheetViews>
    <sheetView tabSelected="1" showRuler="0" topLeftCell="AA1" zoomScale="140" zoomScaleNormal="140" workbookViewId="0">
      <selection activeCell="Y14" sqref="Y14"/>
    </sheetView>
  </sheetViews>
  <sheetFormatPr baseColWidth="10" defaultColWidth="10.6640625" defaultRowHeight="16" x14ac:dyDescent="0.2"/>
  <cols>
    <col min="1" max="1" width="17.5" customWidth="1"/>
    <col min="2" max="2" width="5.5" bestFit="1" customWidth="1"/>
    <col min="3" max="8" width="6.1640625" bestFit="1" customWidth="1"/>
    <col min="9" max="9" width="8.33203125" bestFit="1" customWidth="1"/>
    <col min="10" max="10" width="8" bestFit="1" customWidth="1"/>
    <col min="11" max="11" width="9" bestFit="1" customWidth="1"/>
    <col min="12" max="12" width="2.1640625" customWidth="1"/>
    <col min="13" max="13" width="2.1640625" bestFit="1" customWidth="1"/>
    <col min="14" max="14" width="21.1640625" bestFit="1" customWidth="1"/>
    <col min="15" max="15" width="9" bestFit="1" customWidth="1"/>
    <col min="16" max="16" width="8.6640625" bestFit="1" customWidth="1"/>
    <col min="17" max="17" width="7.33203125" bestFit="1" customWidth="1"/>
    <col min="18" max="18" width="9.33203125" bestFit="1" customWidth="1"/>
    <col min="19" max="19" width="10.83203125" bestFit="1" customWidth="1"/>
    <col min="20" max="20" width="14.5" bestFit="1" customWidth="1"/>
    <col min="24" max="24" width="20.1640625" bestFit="1" customWidth="1"/>
    <col min="40" max="40" width="10.6640625" customWidth="1"/>
    <col min="41" max="41" width="18.6640625" bestFit="1" customWidth="1"/>
    <col min="43" max="43" width="18.6640625" bestFit="1" customWidth="1"/>
    <col min="45" max="45" width="16.5" customWidth="1"/>
  </cols>
  <sheetData>
    <row r="2" spans="1:32" x14ac:dyDescent="0.2">
      <c r="A2" s="4" t="s">
        <v>0</v>
      </c>
      <c r="B2" s="4"/>
      <c r="C2" s="112" t="s">
        <v>83</v>
      </c>
      <c r="D2" s="112"/>
      <c r="E2" s="112"/>
      <c r="F2" s="112" t="s">
        <v>84</v>
      </c>
      <c r="G2" s="112"/>
      <c r="H2" s="112"/>
      <c r="L2" s="35"/>
      <c r="N2" s="95" t="s">
        <v>86</v>
      </c>
      <c r="O2" s="95"/>
      <c r="P2" s="95"/>
      <c r="Q2" s="95"/>
      <c r="R2" s="95"/>
      <c r="S2" s="95"/>
      <c r="T2" s="95"/>
      <c r="X2" s="95" t="s">
        <v>107</v>
      </c>
      <c r="Y2" s="95"/>
      <c r="Z2" s="95"/>
      <c r="AA2" s="95"/>
      <c r="AB2" s="95"/>
      <c r="AC2" s="95"/>
    </row>
    <row r="3" spans="1:32" ht="51" x14ac:dyDescent="0.2">
      <c r="A3" s="23"/>
      <c r="B3" s="23" t="s">
        <v>69</v>
      </c>
      <c r="C3" s="23">
        <v>1</v>
      </c>
      <c r="D3" s="23">
        <v>2</v>
      </c>
      <c r="E3" s="26">
        <v>3</v>
      </c>
      <c r="F3" s="23">
        <v>1</v>
      </c>
      <c r="G3" s="23">
        <v>2</v>
      </c>
      <c r="H3" s="26">
        <v>3</v>
      </c>
      <c r="I3" s="87" t="s">
        <v>55</v>
      </c>
      <c r="J3" s="27" t="s">
        <v>72</v>
      </c>
      <c r="K3" s="27" t="s">
        <v>73</v>
      </c>
      <c r="L3" s="1"/>
      <c r="N3" s="2"/>
      <c r="O3" s="27" t="s">
        <v>75</v>
      </c>
      <c r="P3" s="23" t="s">
        <v>76</v>
      </c>
      <c r="Q3" s="87" t="s">
        <v>77</v>
      </c>
      <c r="R3" s="28" t="s">
        <v>128</v>
      </c>
      <c r="S3" s="28" t="s">
        <v>129</v>
      </c>
      <c r="T3" s="27" t="s">
        <v>130</v>
      </c>
      <c r="W3" s="89" t="s">
        <v>92</v>
      </c>
      <c r="X3" s="2"/>
      <c r="Y3" s="27" t="s">
        <v>75</v>
      </c>
      <c r="Z3" s="23" t="s">
        <v>76</v>
      </c>
      <c r="AA3" s="87" t="s">
        <v>77</v>
      </c>
      <c r="AB3" s="32" t="s">
        <v>74</v>
      </c>
      <c r="AC3" s="28" t="s">
        <v>78</v>
      </c>
      <c r="AE3" s="69" t="s">
        <v>109</v>
      </c>
      <c r="AF3" s="69"/>
    </row>
    <row r="4" spans="1:32" x14ac:dyDescent="0.2">
      <c r="A4" s="107" t="s">
        <v>3</v>
      </c>
      <c r="B4" s="73" t="s">
        <v>61</v>
      </c>
      <c r="C4" s="14"/>
      <c r="D4" s="14"/>
      <c r="E4" s="74">
        <v>30</v>
      </c>
      <c r="F4" s="14"/>
      <c r="G4" s="14"/>
      <c r="H4" s="74">
        <v>34</v>
      </c>
      <c r="I4" s="56">
        <v>0.01</v>
      </c>
      <c r="J4" s="76">
        <f t="shared" ref="J4:J6" si="0">AVERAGE(E4,H4)</f>
        <v>32</v>
      </c>
      <c r="K4" s="57">
        <f>(J4/(0.01*I4))*0.2</f>
        <v>64000</v>
      </c>
      <c r="L4" s="1"/>
      <c r="M4" s="52">
        <v>1</v>
      </c>
      <c r="N4" s="2" t="s">
        <v>3</v>
      </c>
      <c r="O4" s="9">
        <f>AVERAGE(K4:K6)</f>
        <v>51666.666666666664</v>
      </c>
      <c r="P4" s="9">
        <f>STDEV(K4:K6)</f>
        <v>13650.396819628853</v>
      </c>
      <c r="Q4" s="13">
        <v>7.7499999999999982</v>
      </c>
      <c r="R4" s="2"/>
      <c r="S4" s="88">
        <f>O4/$O$4</f>
        <v>1</v>
      </c>
      <c r="T4" s="13">
        <f>O4/Y4</f>
        <v>851.64835164835165</v>
      </c>
      <c r="W4" s="80">
        <v>1</v>
      </c>
      <c r="X4" s="76" t="s">
        <v>3</v>
      </c>
      <c r="Y4" s="57">
        <v>60.666666666666664</v>
      </c>
      <c r="Z4" s="57">
        <v>25.794056162870799</v>
      </c>
      <c r="AA4" s="13">
        <v>7.7499999999999982</v>
      </c>
      <c r="AB4" s="78"/>
      <c r="AC4" s="79"/>
      <c r="AE4" s="70">
        <f>(22*60)/(3.3*LOG(O4/Y4))</f>
        <v>136.50664366222014</v>
      </c>
    </row>
    <row r="5" spans="1:32" x14ac:dyDescent="0.2">
      <c r="A5" s="107"/>
      <c r="B5" s="73" t="s">
        <v>63</v>
      </c>
      <c r="C5" s="14"/>
      <c r="D5" s="14"/>
      <c r="E5" s="74">
        <v>18</v>
      </c>
      <c r="F5" s="14"/>
      <c r="G5" s="14"/>
      <c r="H5" s="74">
        <v>19</v>
      </c>
      <c r="I5" s="56">
        <v>0.01</v>
      </c>
      <c r="J5" s="76">
        <f t="shared" si="0"/>
        <v>18.5</v>
      </c>
      <c r="K5" s="57">
        <f>(J5/(0.01*I5))*0.2</f>
        <v>37000</v>
      </c>
      <c r="L5" s="1"/>
      <c r="M5" s="59">
        <v>2</v>
      </c>
      <c r="N5" s="2" t="s">
        <v>151</v>
      </c>
      <c r="O5" s="9">
        <f>AVERAGE(K7:K9)</f>
        <v>5533.333333333333</v>
      </c>
      <c r="P5" s="9">
        <f>STDEV(K7:K9)</f>
        <v>776.74534651540455</v>
      </c>
      <c r="Q5" s="13">
        <v>5.5875000000000004</v>
      </c>
      <c r="R5" s="18">
        <f>TTEST(K7:K9,K$4:K$6,2,2)</f>
        <v>4.274555727718665E-3</v>
      </c>
      <c r="S5" s="88">
        <f>-$O$4/O5</f>
        <v>-9.3373493975903621</v>
      </c>
      <c r="T5" s="13">
        <f>O5/Y5</f>
        <v>140.67796610169489</v>
      </c>
      <c r="W5" s="80">
        <v>2</v>
      </c>
      <c r="X5" s="76" t="s">
        <v>147</v>
      </c>
      <c r="Y5" s="57">
        <v>39.333333333333336</v>
      </c>
      <c r="Z5" s="57">
        <v>8.3266639978645394</v>
      </c>
      <c r="AA5" s="13">
        <v>5.5875000000000004</v>
      </c>
      <c r="AB5" s="78">
        <v>0.24449457777151351</v>
      </c>
      <c r="AC5" s="79">
        <v>-1.5423728813559321</v>
      </c>
      <c r="AE5" s="70">
        <f>(22*60)/(3.3*LOG(O5/Y5))</f>
        <v>186.20014140380525</v>
      </c>
      <c r="AF5" s="70"/>
    </row>
    <row r="6" spans="1:32" ht="15" customHeight="1" x14ac:dyDescent="0.2">
      <c r="A6" s="107"/>
      <c r="B6" s="73" t="s">
        <v>79</v>
      </c>
      <c r="C6" s="56"/>
      <c r="D6" s="14"/>
      <c r="E6" s="74">
        <v>22</v>
      </c>
      <c r="F6" s="56"/>
      <c r="G6" s="14"/>
      <c r="H6" s="74">
        <v>32</v>
      </c>
      <c r="I6" s="56">
        <v>0.01</v>
      </c>
      <c r="J6" s="76">
        <f t="shared" si="0"/>
        <v>27</v>
      </c>
      <c r="K6" s="57">
        <f>(J6/(0.01*I6))*0.2</f>
        <v>54000</v>
      </c>
      <c r="L6" s="1"/>
      <c r="M6" s="59">
        <v>3</v>
      </c>
      <c r="N6" s="2" t="s">
        <v>152</v>
      </c>
      <c r="O6" s="9">
        <f>AVERAGE(K10:K12)</f>
        <v>1320</v>
      </c>
      <c r="P6" s="9">
        <f>STDEV(K10:K12)</f>
        <v>649.5382975621992</v>
      </c>
      <c r="Q6" s="13">
        <v>8.9166666666666661</v>
      </c>
      <c r="R6" s="18">
        <f>TTEST(K10:K12,K$4:K$6,2,2)</f>
        <v>3.0946563614859487E-3</v>
      </c>
      <c r="S6" s="88">
        <f>-$O$4/O6</f>
        <v>-39.141414141414138</v>
      </c>
      <c r="T6" s="13">
        <f>O6/Y6</f>
        <v>17.368421052631579</v>
      </c>
      <c r="W6" s="80">
        <v>3</v>
      </c>
      <c r="X6" s="76" t="s">
        <v>148</v>
      </c>
      <c r="Y6" s="57">
        <v>76</v>
      </c>
      <c r="Z6" s="57">
        <v>14</v>
      </c>
      <c r="AA6" s="13">
        <v>8.9166666666666661</v>
      </c>
      <c r="AB6" s="78">
        <v>0.4166824168217062</v>
      </c>
      <c r="AC6" s="79">
        <v>1.2527472527472527</v>
      </c>
      <c r="AE6" s="70">
        <f>(22*60)/(3.3*LOG(O6/Y6))</f>
        <v>322.64300400738938</v>
      </c>
      <c r="AF6" s="70"/>
    </row>
    <row r="7" spans="1:32" ht="15" customHeight="1" x14ac:dyDescent="0.2">
      <c r="A7" s="104" t="s">
        <v>150</v>
      </c>
      <c r="B7" s="54" t="s">
        <v>64</v>
      </c>
      <c r="C7" s="14"/>
      <c r="D7" s="33">
        <v>42</v>
      </c>
      <c r="E7" s="33"/>
      <c r="F7" s="14"/>
      <c r="G7" s="33">
        <v>22</v>
      </c>
      <c r="H7" s="33"/>
      <c r="I7" s="14">
        <v>0.1</v>
      </c>
      <c r="J7" s="22">
        <f>AVERAGE(D7,G7)</f>
        <v>32</v>
      </c>
      <c r="K7" s="9">
        <f t="shared" ref="K7:K14" si="1">(J7/(0.01*I7))*0.2</f>
        <v>6400</v>
      </c>
      <c r="L7" s="1"/>
      <c r="M7" s="59">
        <v>4</v>
      </c>
      <c r="N7" s="2" t="s">
        <v>153</v>
      </c>
      <c r="O7" s="9">
        <f>AVERAGE(K13:K15)</f>
        <v>16000</v>
      </c>
      <c r="P7" s="9">
        <f>STDEV(K13:K15)</f>
        <v>4200</v>
      </c>
      <c r="Q7" s="13">
        <v>9.625</v>
      </c>
      <c r="R7" s="18">
        <f>TTEST(K13:K15,K$4:K$6,2,2)</f>
        <v>1.2393546856229934E-2</v>
      </c>
      <c r="S7" s="88">
        <f>O7/$O$4</f>
        <v>0.30967741935483872</v>
      </c>
      <c r="T7" s="13">
        <f>O7/Y7</f>
        <v>201.68067226890759</v>
      </c>
      <c r="W7" s="80">
        <v>4</v>
      </c>
      <c r="X7" s="76" t="s">
        <v>149</v>
      </c>
      <c r="Y7" s="57">
        <v>79.333333333333329</v>
      </c>
      <c r="Z7" s="57">
        <v>16.16580753730954</v>
      </c>
      <c r="AA7" s="13">
        <v>9.625</v>
      </c>
      <c r="AB7" s="78">
        <v>0.34806020655520098</v>
      </c>
      <c r="AC7" s="79">
        <v>1.3076923076923077</v>
      </c>
      <c r="AE7" s="70">
        <f>(22*60)/(3.3*LOG(O7/Y7))</f>
        <v>173.5610706582483</v>
      </c>
      <c r="AF7" s="70"/>
    </row>
    <row r="8" spans="1:32" ht="15" customHeight="1" x14ac:dyDescent="0.2">
      <c r="A8" s="104"/>
      <c r="B8" s="54" t="s">
        <v>65</v>
      </c>
      <c r="C8" s="14"/>
      <c r="D8" s="33">
        <v>28</v>
      </c>
      <c r="E8" s="33"/>
      <c r="F8" s="14"/>
      <c r="G8" s="33">
        <v>21</v>
      </c>
      <c r="H8" s="33"/>
      <c r="I8" s="14">
        <v>0.1</v>
      </c>
      <c r="J8" s="22">
        <f>AVERAGE(D8,G8)</f>
        <v>24.5</v>
      </c>
      <c r="K8" s="9">
        <f t="shared" si="1"/>
        <v>4900</v>
      </c>
      <c r="L8" s="1"/>
      <c r="M8" s="59">
        <v>5</v>
      </c>
      <c r="N8" s="2" t="s">
        <v>104</v>
      </c>
      <c r="O8" s="9">
        <f>AVERAGE(K16:K18)</f>
        <v>5.333333333333333</v>
      </c>
      <c r="P8" s="9">
        <f>STDEV(K16:K18)</f>
        <v>5.0332229568471671</v>
      </c>
      <c r="Q8" s="13">
        <v>5.3333333333333339</v>
      </c>
      <c r="R8" s="18">
        <f>TTEST(K16:K18,K$4:K$6,2,2)</f>
        <v>2.8007977990716897E-3</v>
      </c>
      <c r="S8" s="88">
        <f>-$O$4/O8</f>
        <v>-9687.5</v>
      </c>
      <c r="T8" s="13">
        <f>O8/Y8</f>
        <v>0.21052631578947367</v>
      </c>
      <c r="W8" s="80">
        <v>5</v>
      </c>
      <c r="X8" s="76" t="s">
        <v>101</v>
      </c>
      <c r="Y8" s="57">
        <v>25.333333333333332</v>
      </c>
      <c r="Z8" s="57">
        <v>7.5718777944003675</v>
      </c>
      <c r="AA8" s="13">
        <v>5.3333333333333339</v>
      </c>
      <c r="AB8" s="81">
        <v>8.5110396395897334E-2</v>
      </c>
      <c r="AC8" s="79">
        <v>-2.3947368421052633</v>
      </c>
      <c r="AE8" s="70">
        <f>(22*60)/(3.3*LOG(O8/Y8))</f>
        <v>-591.10946861422997</v>
      </c>
      <c r="AF8" s="70"/>
    </row>
    <row r="9" spans="1:32" ht="16" customHeight="1" x14ac:dyDescent="0.2">
      <c r="A9" s="104"/>
      <c r="B9" s="54" t="s">
        <v>80</v>
      </c>
      <c r="C9" s="14"/>
      <c r="D9" s="33">
        <v>26</v>
      </c>
      <c r="E9" s="33"/>
      <c r="F9" s="14"/>
      <c r="G9" s="33">
        <v>27</v>
      </c>
      <c r="H9" s="33"/>
      <c r="I9" s="14">
        <v>0.1</v>
      </c>
      <c r="J9" s="22">
        <f>AVERAGE(D9,G9)</f>
        <v>26.5</v>
      </c>
      <c r="K9" s="9">
        <f>(J9/(0.01*I9))*0.2</f>
        <v>5300</v>
      </c>
      <c r="L9" s="1"/>
      <c r="M9" s="39"/>
      <c r="N9" s="39"/>
      <c r="O9" s="39"/>
      <c r="P9" s="39"/>
      <c r="Q9" s="39"/>
      <c r="R9" s="39"/>
      <c r="S9" s="39"/>
    </row>
    <row r="10" spans="1:32" ht="16" customHeight="1" x14ac:dyDescent="0.2">
      <c r="A10" s="104" t="s">
        <v>148</v>
      </c>
      <c r="B10" s="54" t="s">
        <v>66</v>
      </c>
      <c r="C10" s="33">
        <v>57</v>
      </c>
      <c r="D10" s="14"/>
      <c r="E10" s="33"/>
      <c r="F10" s="33">
        <v>37</v>
      </c>
      <c r="G10" s="14"/>
      <c r="H10" s="33"/>
      <c r="I10" s="56">
        <v>1</v>
      </c>
      <c r="J10" s="76">
        <f>AVERAGE(C10,F10)</f>
        <v>47</v>
      </c>
      <c r="K10" s="9">
        <f>(J10/(0.01*I10))*0.2</f>
        <v>940</v>
      </c>
      <c r="L10" s="1"/>
      <c r="M10" s="39"/>
      <c r="N10" s="39"/>
      <c r="O10" s="39"/>
      <c r="P10" s="39"/>
      <c r="Q10" s="39"/>
      <c r="R10" s="39"/>
      <c r="S10" s="39"/>
    </row>
    <row r="11" spans="1:32" x14ac:dyDescent="0.2">
      <c r="A11" s="104"/>
      <c r="B11" s="54" t="s">
        <v>67</v>
      </c>
      <c r="C11" s="33">
        <v>36</v>
      </c>
      <c r="D11" s="33"/>
      <c r="E11" s="33"/>
      <c r="F11" s="33">
        <v>59</v>
      </c>
      <c r="G11" s="33"/>
      <c r="H11" s="33"/>
      <c r="I11" s="56">
        <v>1</v>
      </c>
      <c r="J11" s="76">
        <f>AVERAGE(C11,F11)</f>
        <v>47.5</v>
      </c>
      <c r="K11" s="9">
        <f t="shared" si="1"/>
        <v>950</v>
      </c>
      <c r="L11" s="1"/>
      <c r="M11" s="39"/>
      <c r="N11" s="39"/>
      <c r="O11" s="39"/>
      <c r="P11" s="39"/>
      <c r="Q11" s="39"/>
      <c r="R11" s="39"/>
      <c r="S11" s="39"/>
    </row>
    <row r="12" spans="1:32" x14ac:dyDescent="0.2">
      <c r="A12" s="104"/>
      <c r="B12" s="54" t="s">
        <v>81</v>
      </c>
      <c r="C12" s="33">
        <v>111</v>
      </c>
      <c r="D12" s="94">
        <v>21</v>
      </c>
      <c r="E12" s="33"/>
      <c r="F12" s="33">
        <v>96</v>
      </c>
      <c r="G12" s="94">
        <v>12</v>
      </c>
      <c r="H12" s="33"/>
      <c r="I12" s="56">
        <v>1</v>
      </c>
      <c r="J12" s="76">
        <f>AVERAGE(C12,F12)</f>
        <v>103.5</v>
      </c>
      <c r="K12" s="9">
        <f t="shared" si="1"/>
        <v>2070</v>
      </c>
      <c r="L12" s="1"/>
      <c r="M12" s="39"/>
      <c r="N12" s="39"/>
      <c r="O12" s="39"/>
      <c r="P12" s="39"/>
      <c r="Q12" s="39"/>
      <c r="R12" s="39"/>
      <c r="S12" s="39"/>
    </row>
    <row r="13" spans="1:32" ht="16" customHeight="1" x14ac:dyDescent="0.2">
      <c r="A13" s="104" t="s">
        <v>149</v>
      </c>
      <c r="B13" s="54" t="s">
        <v>95</v>
      </c>
      <c r="C13" s="14"/>
      <c r="D13" s="33">
        <v>88</v>
      </c>
      <c r="E13" s="33"/>
      <c r="F13" s="14"/>
      <c r="G13" s="33">
        <v>114</v>
      </c>
      <c r="H13" s="33"/>
      <c r="I13" s="56">
        <v>0.1</v>
      </c>
      <c r="J13" s="22">
        <f t="shared" ref="J13:J15" si="2">AVERAGE(D13,G13)</f>
        <v>101</v>
      </c>
      <c r="K13" s="9">
        <f t="shared" si="1"/>
        <v>20200</v>
      </c>
      <c r="L13" s="1"/>
      <c r="M13" s="39"/>
      <c r="N13" s="39"/>
      <c r="O13" s="39"/>
      <c r="P13" s="39"/>
      <c r="Q13" s="39"/>
      <c r="R13" s="39"/>
      <c r="S13" s="39"/>
    </row>
    <row r="14" spans="1:32" x14ac:dyDescent="0.2">
      <c r="A14" s="104"/>
      <c r="B14" s="54" t="s">
        <v>96</v>
      </c>
      <c r="C14" s="14"/>
      <c r="D14" s="33">
        <v>54</v>
      </c>
      <c r="E14" s="33"/>
      <c r="F14" s="14"/>
      <c r="G14" s="33">
        <v>64</v>
      </c>
      <c r="H14" s="33"/>
      <c r="I14" s="56">
        <v>0.1</v>
      </c>
      <c r="J14" s="22">
        <f t="shared" si="2"/>
        <v>59</v>
      </c>
      <c r="K14" s="9">
        <f t="shared" si="1"/>
        <v>11800</v>
      </c>
      <c r="L14" s="1"/>
      <c r="M14" s="38"/>
      <c r="N14" s="36"/>
      <c r="O14" s="36"/>
      <c r="P14" s="39"/>
      <c r="Q14" s="39"/>
      <c r="R14" s="40"/>
      <c r="S14" s="40"/>
    </row>
    <row r="15" spans="1:32" ht="15" customHeight="1" x14ac:dyDescent="0.2">
      <c r="A15" s="104"/>
      <c r="B15" s="54" t="s">
        <v>97</v>
      </c>
      <c r="C15" s="14"/>
      <c r="D15" s="33">
        <v>74</v>
      </c>
      <c r="E15" s="33"/>
      <c r="F15" s="14"/>
      <c r="G15" s="33">
        <v>86</v>
      </c>
      <c r="H15" s="33"/>
      <c r="I15" s="56">
        <v>0.1</v>
      </c>
      <c r="J15" s="22">
        <f t="shared" si="2"/>
        <v>80</v>
      </c>
      <c r="K15" s="9">
        <f>(J15/(0.01*I15))*0.2</f>
        <v>16000</v>
      </c>
      <c r="L15" s="1"/>
      <c r="M15" s="38"/>
      <c r="N15" s="36"/>
      <c r="O15" s="36"/>
      <c r="P15" s="39"/>
      <c r="Q15" s="41"/>
      <c r="R15" s="40"/>
      <c r="S15" s="40"/>
    </row>
    <row r="16" spans="1:32" ht="16" customHeight="1" x14ac:dyDescent="0.2">
      <c r="A16" s="110" t="s">
        <v>106</v>
      </c>
      <c r="B16" s="54" t="s">
        <v>102</v>
      </c>
      <c r="C16" s="33">
        <v>1</v>
      </c>
      <c r="D16" s="33"/>
      <c r="E16" s="33"/>
      <c r="F16" s="33">
        <v>4</v>
      </c>
      <c r="G16" s="33"/>
      <c r="H16" s="33"/>
      <c r="I16" s="14">
        <v>1</v>
      </c>
      <c r="J16" s="22">
        <f>AVERAGE(C16,F16)</f>
        <v>2.5</v>
      </c>
      <c r="K16" s="9">
        <f>(J16/(0.05*I16))*0.2</f>
        <v>10</v>
      </c>
      <c r="L16" s="1"/>
      <c r="M16" s="38"/>
      <c r="N16" s="36"/>
      <c r="O16" s="36"/>
      <c r="P16" s="39"/>
      <c r="Q16" s="41"/>
      <c r="R16" s="40"/>
      <c r="S16" s="40"/>
    </row>
    <row r="17" spans="1:27" ht="15" customHeight="1" x14ac:dyDescent="0.2">
      <c r="A17" s="110"/>
      <c r="B17" s="54" t="s">
        <v>103</v>
      </c>
      <c r="C17" s="33">
        <v>0</v>
      </c>
      <c r="D17" s="33"/>
      <c r="E17" s="33"/>
      <c r="F17" s="33">
        <v>0</v>
      </c>
      <c r="G17" s="33"/>
      <c r="H17" s="33"/>
      <c r="I17" s="14">
        <v>1</v>
      </c>
      <c r="J17" s="22">
        <f t="shared" ref="J17:J18" si="3">AVERAGE(C17,F17)</f>
        <v>0</v>
      </c>
      <c r="K17" s="9">
        <f>(J17/(0.05*I17))*0.2</f>
        <v>0</v>
      </c>
      <c r="L17" s="1"/>
      <c r="M17" s="38"/>
      <c r="N17" s="36"/>
      <c r="O17" s="36"/>
      <c r="P17" s="39"/>
      <c r="Q17" s="41"/>
      <c r="R17" s="40"/>
      <c r="S17" s="40"/>
      <c r="U17" s="1"/>
    </row>
    <row r="18" spans="1:27" x14ac:dyDescent="0.2">
      <c r="A18" s="110"/>
      <c r="B18" s="54" t="s">
        <v>114</v>
      </c>
      <c r="C18" s="33">
        <v>2</v>
      </c>
      <c r="D18" s="33"/>
      <c r="E18" s="33"/>
      <c r="F18" s="33">
        <v>1</v>
      </c>
      <c r="G18" s="33"/>
      <c r="H18" s="33"/>
      <c r="I18" s="14">
        <v>1</v>
      </c>
      <c r="J18" s="22">
        <f t="shared" si="3"/>
        <v>1.5</v>
      </c>
      <c r="K18" s="9">
        <f>(J18/(0.05*I18))*0.2</f>
        <v>6</v>
      </c>
      <c r="L18" s="1"/>
      <c r="M18" s="39"/>
      <c r="N18" s="39"/>
      <c r="O18" s="39"/>
      <c r="P18" s="39"/>
      <c r="Q18" s="39"/>
      <c r="R18" s="39"/>
      <c r="S18" s="39"/>
    </row>
    <row r="19" spans="1:27" ht="15" customHeight="1" x14ac:dyDescent="0.2">
      <c r="A19" s="55" t="s">
        <v>68</v>
      </c>
      <c r="B19" s="2"/>
      <c r="C19" s="2">
        <v>1</v>
      </c>
      <c r="D19" s="2">
        <f>C19/10</f>
        <v>0.1</v>
      </c>
      <c r="E19" s="2">
        <f>D19/10</f>
        <v>0.01</v>
      </c>
      <c r="F19" s="2">
        <v>1</v>
      </c>
      <c r="G19" s="2">
        <f>F19/10</f>
        <v>0.1</v>
      </c>
      <c r="H19" s="2">
        <f>G19/10</f>
        <v>0.01</v>
      </c>
      <c r="K19" s="1"/>
      <c r="L19" s="1"/>
      <c r="M19" s="39"/>
      <c r="N19" s="39"/>
      <c r="O19" s="39"/>
      <c r="P19" s="39"/>
      <c r="Q19" s="39"/>
      <c r="R19" s="39"/>
      <c r="S19" s="39"/>
    </row>
    <row r="20" spans="1:27" x14ac:dyDescent="0.2">
      <c r="A20" s="111" t="s">
        <v>85</v>
      </c>
      <c r="B20" s="111"/>
      <c r="C20" s="111"/>
      <c r="L20" s="1"/>
    </row>
    <row r="21" spans="1:27" x14ac:dyDescent="0.2">
      <c r="L21" s="1"/>
      <c r="AA21" s="68"/>
    </row>
    <row r="22" spans="1:27" x14ac:dyDescent="0.2">
      <c r="L22" s="1"/>
    </row>
    <row r="23" spans="1:27" x14ac:dyDescent="0.2">
      <c r="L23" s="1"/>
    </row>
    <row r="24" spans="1:27" ht="16" customHeight="1" x14ac:dyDescent="0.2">
      <c r="L24" s="1"/>
    </row>
    <row r="25" spans="1:27" ht="15" customHeight="1" x14ac:dyDescent="0.2">
      <c r="L25" s="1"/>
    </row>
    <row r="26" spans="1:27" ht="16" customHeight="1" x14ac:dyDescent="0.2">
      <c r="L26" s="1"/>
    </row>
    <row r="27" spans="1:27" ht="15" customHeight="1" x14ac:dyDescent="0.2">
      <c r="L27" s="1"/>
    </row>
    <row r="28" spans="1:27" x14ac:dyDescent="0.2">
      <c r="L28" s="1"/>
    </row>
    <row r="29" spans="1:27" x14ac:dyDescent="0.2">
      <c r="L29" s="1"/>
    </row>
    <row r="30" spans="1:27" ht="15" customHeight="1" x14ac:dyDescent="0.2">
      <c r="L30" s="1"/>
    </row>
    <row r="31" spans="1:27" x14ac:dyDescent="0.2">
      <c r="L31" s="1"/>
    </row>
    <row r="32" spans="1:27" x14ac:dyDescent="0.2">
      <c r="L32" s="1"/>
    </row>
    <row r="33" spans="12:12" ht="15" customHeight="1" x14ac:dyDescent="0.2">
      <c r="L33" s="1"/>
    </row>
    <row r="34" spans="12:12" x14ac:dyDescent="0.2">
      <c r="L34" s="1"/>
    </row>
    <row r="35" spans="12:12" x14ac:dyDescent="0.2">
      <c r="L35" s="1"/>
    </row>
    <row r="36" spans="12:12" x14ac:dyDescent="0.2">
      <c r="L36" s="1"/>
    </row>
    <row r="37" spans="12:12" x14ac:dyDescent="0.2">
      <c r="L37" s="1"/>
    </row>
    <row r="56" spans="40:40" x14ac:dyDescent="0.2">
      <c r="AN56" s="68"/>
    </row>
  </sheetData>
  <mergeCells count="10">
    <mergeCell ref="A20:C20"/>
    <mergeCell ref="A16:A18"/>
    <mergeCell ref="A13:A15"/>
    <mergeCell ref="A10:A12"/>
    <mergeCell ref="X2:AC2"/>
    <mergeCell ref="N2:T2"/>
    <mergeCell ref="F2:H2"/>
    <mergeCell ref="A4:A6"/>
    <mergeCell ref="A7:A9"/>
    <mergeCell ref="C2:E2"/>
  </mergeCells>
  <pageMargins left="0.75" right="0.75" top="1" bottom="1" header="0.5" footer="0.5"/>
  <pageSetup scale="17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304E3-B345-FB46-AE4F-7C642F414EA9}">
  <dimension ref="F7:O21"/>
  <sheetViews>
    <sheetView workbookViewId="0">
      <selection activeCell="G20" sqref="G20"/>
    </sheetView>
  </sheetViews>
  <sheetFormatPr baseColWidth="10" defaultRowHeight="16" x14ac:dyDescent="0.2"/>
  <cols>
    <col min="6" max="6" width="20.1640625" bestFit="1" customWidth="1"/>
  </cols>
  <sheetData>
    <row r="7" spans="6:12" x14ac:dyDescent="0.2">
      <c r="G7">
        <v>210603</v>
      </c>
      <c r="H7">
        <v>191118</v>
      </c>
      <c r="I7">
        <v>190821</v>
      </c>
    </row>
    <row r="8" spans="6:12" ht="34" x14ac:dyDescent="0.2">
      <c r="F8" s="2"/>
      <c r="G8" s="27" t="s">
        <v>108</v>
      </c>
      <c r="J8" t="s">
        <v>89</v>
      </c>
      <c r="K8" t="s">
        <v>115</v>
      </c>
      <c r="L8" t="s">
        <v>116</v>
      </c>
    </row>
    <row r="9" spans="6:12" x14ac:dyDescent="0.2">
      <c r="F9" s="2" t="s">
        <v>3</v>
      </c>
      <c r="G9" s="13">
        <v>416.32231404958679</v>
      </c>
      <c r="H9" s="82">
        <v>825.17482517482529</v>
      </c>
      <c r="I9" s="70">
        <v>361.22448979591837</v>
      </c>
      <c r="J9" s="70">
        <f>AVERAGE(G9:I9)</f>
        <v>534.24054300677676</v>
      </c>
      <c r="K9">
        <f>STDEV(G9:I9)</f>
        <v>253.45810297729747</v>
      </c>
      <c r="L9">
        <f>TTEST(G9:I9,G$9:I$9,2,2)</f>
        <v>1</v>
      </c>
    </row>
    <row r="10" spans="6:12" x14ac:dyDescent="0.2">
      <c r="F10" s="2" t="s">
        <v>99</v>
      </c>
      <c r="G10" s="13">
        <v>86.686390532544365</v>
      </c>
      <c r="H10" s="82">
        <v>303.42465753424659</v>
      </c>
      <c r="I10" s="70">
        <v>51.590909090909093</v>
      </c>
      <c r="J10" s="70">
        <f>AVERAGE(G10:I10)</f>
        <v>147.23398571923335</v>
      </c>
      <c r="K10">
        <f>STDEV(G10:I10)</f>
        <v>136.39856185430961</v>
      </c>
      <c r="L10">
        <f>TTEST(G10:I10,G$9:I$9,2,2)</f>
        <v>8.0351956919841663E-2</v>
      </c>
    </row>
    <row r="11" spans="6:12" x14ac:dyDescent="0.2">
      <c r="F11" s="2" t="s">
        <v>100</v>
      </c>
      <c r="G11" s="13">
        <v>588.43537414965988</v>
      </c>
      <c r="H11" s="82">
        <v>527.58620689655174</v>
      </c>
      <c r="I11" s="70">
        <v>2215.6862745098038</v>
      </c>
      <c r="J11" s="70">
        <f>AVERAGE(G11:I11)</f>
        <v>1110.5692851853385</v>
      </c>
      <c r="K11">
        <f>STDEV(G11:I11)</f>
        <v>957.54285823613486</v>
      </c>
      <c r="L11">
        <f>TTEST(G11:I11,G$9:I$9,2,2)</f>
        <v>0.37057178001484059</v>
      </c>
    </row>
    <row r="12" spans="6:12" x14ac:dyDescent="0.2">
      <c r="F12" s="2"/>
      <c r="G12" s="13"/>
    </row>
    <row r="13" spans="6:12" x14ac:dyDescent="0.2">
      <c r="F13" s="2"/>
      <c r="G13" s="13"/>
    </row>
    <row r="16" spans="6:12" ht="51" x14ac:dyDescent="0.2">
      <c r="G16" s="27" t="s">
        <v>117</v>
      </c>
      <c r="H16" s="28" t="s">
        <v>118</v>
      </c>
      <c r="K16" s="84" t="s">
        <v>110</v>
      </c>
    </row>
    <row r="17" spans="6:15" x14ac:dyDescent="0.2">
      <c r="F17" s="2"/>
      <c r="G17" s="4">
        <v>210603</v>
      </c>
      <c r="K17" s="84" t="s">
        <v>119</v>
      </c>
      <c r="N17" s="4">
        <v>191118</v>
      </c>
      <c r="O17" s="4">
        <v>190821</v>
      </c>
    </row>
    <row r="18" spans="6:15" x14ac:dyDescent="0.2">
      <c r="F18" s="2" t="s">
        <v>3</v>
      </c>
      <c r="G18" s="13">
        <v>152.70499594064316</v>
      </c>
      <c r="H18" s="85">
        <v>131.5391017</v>
      </c>
      <c r="K18" s="84" t="s">
        <v>120</v>
      </c>
      <c r="L18" s="85">
        <v>147.83021890000001</v>
      </c>
      <c r="N18" s="82">
        <v>137.14853260000001</v>
      </c>
      <c r="O18" s="70"/>
    </row>
    <row r="19" spans="6:15" x14ac:dyDescent="0.2">
      <c r="F19" s="2" t="s">
        <v>99</v>
      </c>
      <c r="G19" s="13">
        <v>206.40357599160433</v>
      </c>
      <c r="H19" s="85">
        <v>169.1624228</v>
      </c>
      <c r="K19" s="84" t="s">
        <v>121</v>
      </c>
      <c r="N19" s="82">
        <v>161.15705149999999</v>
      </c>
      <c r="O19" s="70"/>
    </row>
    <row r="20" spans="6:15" x14ac:dyDescent="0.2">
      <c r="F20" s="2" t="s">
        <v>100</v>
      </c>
      <c r="G20" s="13">
        <v>144.42003727635083</v>
      </c>
      <c r="H20" s="85">
        <v>147.09615160000001</v>
      </c>
      <c r="K20" s="84" t="s">
        <v>122</v>
      </c>
      <c r="L20" s="85">
        <v>186.53617840000001</v>
      </c>
      <c r="N20" s="83">
        <v>146.9349</v>
      </c>
      <c r="O20" s="70"/>
    </row>
    <row r="21" spans="6:15" x14ac:dyDescent="0.2">
      <c r="K21" s="70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PlateSetup</vt:lpstr>
      <vt:lpstr>PlatePlanning</vt:lpstr>
      <vt:lpstr>BacteriaCalcs</vt:lpstr>
      <vt:lpstr>Inoculum</vt:lpstr>
      <vt:lpstr>T=2</vt:lpstr>
      <vt:lpstr>T=24</vt:lpstr>
      <vt:lpstr>combined_assays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2022-06-27T12:04:33Z</cp:lastPrinted>
  <dcterms:created xsi:type="dcterms:W3CDTF">2019-06-17T19:44:26Z</dcterms:created>
  <dcterms:modified xsi:type="dcterms:W3CDTF">2022-08-25T19:01:27Z</dcterms:modified>
</cp:coreProperties>
</file>