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Macrophage/"/>
    </mc:Choice>
  </mc:AlternateContent>
  <xr:revisionPtr revIDLastSave="0" documentId="13_ncr:1_{1615B617-38DD-0348-A5D2-848DECC46D5D}" xr6:coauthVersionLast="47" xr6:coauthVersionMax="47" xr10:uidLastSave="{00000000-0000-0000-0000-000000000000}"/>
  <bookViews>
    <workbookView xWindow="0" yWindow="500" windowWidth="35840" windowHeight="20040" activeTab="5" xr2:uid="{205ACA2F-8ED2-DB48-97DD-6C35F8214E47}"/>
  </bookViews>
  <sheets>
    <sheet name="PlateSetup" sheetId="6" r:id="rId1"/>
    <sheet name="PlatePlanning" sheetId="1" r:id="rId2"/>
    <sheet name="BacteriaCalcs" sheetId="2" r:id="rId3"/>
    <sheet name="Inoculum" sheetId="3" r:id="rId4"/>
    <sheet name="T=2" sheetId="4" r:id="rId5"/>
    <sheet name="T=24" sheetId="5" r:id="rId6"/>
    <sheet name="combined_assays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9" i="5" l="1"/>
  <c r="V8" i="5"/>
  <c r="V7" i="5"/>
  <c r="V4" i="5"/>
  <c r="V5" i="5"/>
  <c r="V6" i="5"/>
  <c r="P5" i="4"/>
  <c r="P7" i="4"/>
  <c r="K7" i="5"/>
  <c r="K4" i="5"/>
  <c r="J6" i="5"/>
  <c r="K19" i="5"/>
  <c r="M8" i="4"/>
  <c r="M7" i="4"/>
  <c r="M6" i="4"/>
  <c r="M5" i="4"/>
  <c r="M4" i="4"/>
  <c r="M3" i="4"/>
  <c r="L8" i="4"/>
  <c r="L7" i="4"/>
  <c r="L6" i="4"/>
  <c r="L5" i="4"/>
  <c r="L4" i="4"/>
  <c r="L3" i="4"/>
  <c r="F18" i="4"/>
  <c r="C15" i="4"/>
  <c r="J9" i="5"/>
  <c r="K9" i="5" s="1"/>
  <c r="J4" i="5"/>
  <c r="J12" i="5"/>
  <c r="J10" i="5"/>
  <c r="J11" i="5"/>
  <c r="D23" i="3"/>
  <c r="D24" i="3"/>
  <c r="D22" i="3"/>
  <c r="D21" i="3"/>
  <c r="D20" i="3"/>
  <c r="D19" i="3"/>
  <c r="R9" i="5" l="1"/>
  <c r="O15" i="2"/>
  <c r="O16" i="2"/>
  <c r="O17" i="2"/>
  <c r="O18" i="2"/>
  <c r="O19" i="2"/>
  <c r="O14" i="2"/>
  <c r="Q14" i="2"/>
  <c r="Q15" i="2"/>
  <c r="Q16" i="2"/>
  <c r="Q17" i="2"/>
  <c r="Q18" i="2"/>
  <c r="Q19" i="2"/>
  <c r="Q21" i="6"/>
  <c r="H26" i="1" l="1"/>
  <c r="D29" i="1"/>
  <c r="C29" i="1"/>
  <c r="B29" i="1"/>
  <c r="G26" i="1"/>
  <c r="H23" i="1"/>
  <c r="G22" i="1"/>
  <c r="G24" i="1" s="1"/>
  <c r="H21" i="1"/>
  <c r="H24" i="1" s="1"/>
  <c r="C26" i="1"/>
  <c r="B26" i="1"/>
  <c r="L11" i="7"/>
  <c r="L10" i="7"/>
  <c r="L9" i="7"/>
  <c r="K10" i="7"/>
  <c r="K11" i="7"/>
  <c r="K9" i="7"/>
  <c r="J10" i="7"/>
  <c r="J11" i="7"/>
  <c r="J9" i="7"/>
  <c r="G27" i="1" l="1"/>
  <c r="I27" i="1" s="1"/>
  <c r="J5" i="5"/>
  <c r="H14" i="3"/>
  <c r="H13" i="3"/>
  <c r="H4" i="3"/>
  <c r="H3" i="3"/>
  <c r="W4" i="6"/>
  <c r="W5" i="6" s="1"/>
  <c r="W6" i="6" s="1"/>
  <c r="Q6" i="6" s="1"/>
  <c r="Q7" i="6" s="1"/>
  <c r="Q8" i="6" s="1"/>
  <c r="W13" i="6"/>
  <c r="W14" i="6" s="1"/>
  <c r="W15" i="6" s="1"/>
  <c r="Q9" i="6" s="1"/>
  <c r="Q10" i="6" s="1"/>
  <c r="B8" i="1"/>
  <c r="D8" i="1"/>
  <c r="E7" i="1"/>
  <c r="B37" i="1"/>
  <c r="B38" i="1" s="1"/>
  <c r="B34" i="1"/>
  <c r="B35" i="1" s="1"/>
  <c r="C10" i="1"/>
  <c r="B9" i="1"/>
  <c r="C11" i="1" l="1"/>
  <c r="C24" i="1"/>
  <c r="B10" i="1"/>
  <c r="B11" i="1" l="1"/>
  <c r="B12" i="1" s="1"/>
  <c r="B24" i="1"/>
  <c r="B27" i="1" s="1"/>
  <c r="J14" i="5"/>
  <c r="K14" i="5" s="1"/>
  <c r="J15" i="5"/>
  <c r="K15" i="5" s="1"/>
  <c r="K11" i="5"/>
  <c r="K12" i="5"/>
  <c r="J13" i="5"/>
  <c r="K13" i="5" s="1"/>
  <c r="K10" i="5"/>
  <c r="J16" i="5"/>
  <c r="J18" i="5"/>
  <c r="J17" i="5"/>
  <c r="J8" i="5"/>
  <c r="J7" i="5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H6" i="3"/>
  <c r="H7" i="3"/>
  <c r="H8" i="3"/>
  <c r="H9" i="3"/>
  <c r="H10" i="3"/>
  <c r="H11" i="3"/>
  <c r="H12" i="3"/>
  <c r="H5" i="3"/>
  <c r="T6" i="5" l="1"/>
  <c r="O6" i="5"/>
  <c r="W6" i="5" s="1"/>
  <c r="O7" i="5"/>
  <c r="P7" i="5"/>
  <c r="P6" i="5"/>
  <c r="J5" i="3"/>
  <c r="L5" i="3" s="1"/>
  <c r="C20" i="3" s="1"/>
  <c r="I7" i="3"/>
  <c r="K7" i="3" s="1"/>
  <c r="J7" i="3"/>
  <c r="L7" i="3" s="1"/>
  <c r="C21" i="3" s="1"/>
  <c r="I5" i="3"/>
  <c r="K5" i="3" s="1"/>
  <c r="H11" i="1"/>
  <c r="H12" i="1" s="1"/>
  <c r="E9" i="1"/>
  <c r="W7" i="5" l="1"/>
  <c r="AH7" i="5"/>
  <c r="AH6" i="5"/>
  <c r="M7" i="3"/>
  <c r="B21" i="3"/>
  <c r="M5" i="3"/>
  <c r="B20" i="3"/>
  <c r="I9" i="3"/>
  <c r="F3" i="4"/>
  <c r="F4" i="4"/>
  <c r="F5" i="4"/>
  <c r="F6" i="4"/>
  <c r="J9" i="3" l="1"/>
  <c r="G22" i="5" l="1"/>
  <c r="H22" i="5" s="1"/>
  <c r="D22" i="5"/>
  <c r="E22" i="5" s="1"/>
  <c r="J21" i="5"/>
  <c r="K21" i="5" s="1"/>
  <c r="J20" i="5"/>
  <c r="K20" i="5" s="1"/>
  <c r="J19" i="5"/>
  <c r="K18" i="5"/>
  <c r="K17" i="5"/>
  <c r="K16" i="5"/>
  <c r="K8" i="5"/>
  <c r="K5" i="5"/>
  <c r="O5" i="5" l="1"/>
  <c r="W5" i="5" s="1"/>
  <c r="R5" i="5"/>
  <c r="S5" i="5"/>
  <c r="S7" i="5"/>
  <c r="T8" i="5"/>
  <c r="S8" i="5"/>
  <c r="S9" i="5"/>
  <c r="S4" i="5"/>
  <c r="S6" i="5"/>
  <c r="R8" i="5"/>
  <c r="R6" i="5"/>
  <c r="R7" i="5"/>
  <c r="O9" i="5"/>
  <c r="O4" i="5"/>
  <c r="O8" i="5"/>
  <c r="P9" i="5"/>
  <c r="P8" i="5"/>
  <c r="P5" i="5"/>
  <c r="P4" i="5"/>
  <c r="E10" i="1"/>
  <c r="D10" i="1"/>
  <c r="AH5" i="5" l="1"/>
  <c r="W9" i="5"/>
  <c r="W4" i="5"/>
  <c r="AH4" i="5"/>
  <c r="U4" i="5"/>
  <c r="U9" i="5"/>
  <c r="U5" i="5"/>
  <c r="U8" i="5"/>
  <c r="U6" i="5"/>
  <c r="U7" i="5"/>
  <c r="W8" i="5"/>
  <c r="AH8" i="5"/>
  <c r="I13" i="3"/>
  <c r="K13" i="3" s="1"/>
  <c r="B24" i="3" s="1"/>
  <c r="J13" i="3"/>
  <c r="L13" i="3" s="1"/>
  <c r="C24" i="3" s="1"/>
  <c r="J11" i="3"/>
  <c r="L11" i="3" s="1"/>
  <c r="C23" i="3" s="1"/>
  <c r="I11" i="3"/>
  <c r="K11" i="3" s="1"/>
  <c r="M11" i="3" l="1"/>
  <c r="B23" i="3"/>
  <c r="M13" i="3"/>
  <c r="J3" i="3" l="1"/>
  <c r="I3" i="3"/>
  <c r="K3" i="3" s="1"/>
  <c r="B19" i="3" l="1"/>
  <c r="M3" i="3"/>
  <c r="Q19" i="6"/>
  <c r="Q4" i="6"/>
  <c r="Q23" i="6" l="1"/>
  <c r="Q25" i="6" l="1"/>
  <c r="F20" i="4"/>
  <c r="G20" i="4" s="1"/>
  <c r="F19" i="4"/>
  <c r="G19" i="4" s="1"/>
  <c r="G18" i="4"/>
  <c r="F17" i="4"/>
  <c r="G17" i="4" s="1"/>
  <c r="F16" i="4"/>
  <c r="G16" i="4" s="1"/>
  <c r="F15" i="4"/>
  <c r="G15" i="4" s="1"/>
  <c r="F8" i="4"/>
  <c r="G8" i="4" s="1"/>
  <c r="F7" i="4"/>
  <c r="G7" i="4" s="1"/>
  <c r="G6" i="4"/>
  <c r="G5" i="4"/>
  <c r="G4" i="4"/>
  <c r="G3" i="4"/>
  <c r="E15" i="3"/>
  <c r="F15" i="3" s="1"/>
  <c r="H6" i="4" l="1"/>
  <c r="O4" i="4" s="1"/>
  <c r="H18" i="4"/>
  <c r="O8" i="4" s="1"/>
  <c r="H9" i="4"/>
  <c r="O5" i="4" s="1"/>
  <c r="H12" i="4"/>
  <c r="O6" i="4" s="1"/>
  <c r="H15" i="4"/>
  <c r="O7" i="4" s="1"/>
  <c r="L3" i="3"/>
  <c r="C19" i="3" s="1"/>
  <c r="K9" i="3"/>
  <c r="B22" i="3" s="1"/>
  <c r="L9" i="3"/>
  <c r="C22" i="3" s="1"/>
  <c r="P6" i="4" l="1"/>
  <c r="M9" i="3"/>
  <c r="D37" i="1" l="1"/>
  <c r="D38" i="1" s="1"/>
  <c r="D34" i="1"/>
  <c r="D35" i="1" s="1"/>
  <c r="Y32" i="1"/>
  <c r="Y31" i="1"/>
  <c r="Y30" i="1"/>
  <c r="E11" i="1"/>
  <c r="D11" i="1"/>
  <c r="D12" i="1" l="1"/>
</calcChain>
</file>

<file path=xl/sharedStrings.xml><?xml version="1.0" encoding="utf-8"?>
<sst xmlns="http://schemas.openxmlformats.org/spreadsheetml/2006/main" count="386" uniqueCount="166">
  <si>
    <t xml:space="preserve"> </t>
  </si>
  <si>
    <t>Macrophage Calculations</t>
  </si>
  <si>
    <t>A</t>
  </si>
  <si>
    <t>LVS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</si>
  <si>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</si>
  <si>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</si>
  <si>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</si>
  <si>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</si>
  <si>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</si>
  <si>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</si>
  <si>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</si>
  <si>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</si>
  <si>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</si>
  <si>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</si>
  <si>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</si>
  <si>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</si>
  <si>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</si>
  <si>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</si>
  <si>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</si>
  <si>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</si>
  <si>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Use</t>
  </si>
  <si>
    <t>Round</t>
  </si>
  <si>
    <t>Square</t>
  </si>
  <si>
    <t>Notes</t>
  </si>
  <si>
    <t>Patch strains for infections</t>
  </si>
  <si>
    <t>Plate inoculumns</t>
  </si>
  <si>
    <t>Bacterial Calculations</t>
  </si>
  <si>
    <t>Actual</t>
  </si>
  <si>
    <t>Timepoint 2 hours</t>
  </si>
  <si>
    <t>MOI</t>
  </si>
  <si>
    <t>Timepoint 24 hours</t>
  </si>
  <si>
    <t>Macrophage cells per well</t>
  </si>
  <si>
    <t>Total plates</t>
  </si>
  <si>
    <t>Volume bacteria to add (mL)</t>
  </si>
  <si>
    <t>Flasks of 600 mL CHA</t>
  </si>
  <si>
    <t>Round plates: 24 mL, 25 per flask; Square plates: 30 mL, 20 per flask</t>
  </si>
  <si>
    <t>Bacterial density needed (cells/mL)</t>
  </si>
  <si>
    <t>Total number of CHA flasks</t>
  </si>
  <si>
    <t>Cells/mL per OD600</t>
  </si>
  <si>
    <t>OD needed for given density</t>
  </si>
  <si>
    <t>Resuspend to</t>
  </si>
  <si>
    <t>Final MOI 5, dilute 1:100</t>
  </si>
  <si>
    <t>For final vol 1.3 mL at 0.028</t>
  </si>
  <si>
    <t>Number</t>
  </si>
  <si>
    <t>Strain</t>
  </si>
  <si>
    <t>Resuspend cells to (OD600)</t>
  </si>
  <si>
    <t>Cells (uL)</t>
  </si>
  <si>
    <t>Media (x2, uL)</t>
  </si>
  <si>
    <t>OD600</t>
  </si>
  <si>
    <t>Volume to dilute in 1 mL (usually 1:100)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</si>
  <si>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>chaC</t>
    </r>
  </si>
  <si>
    <t>undiluted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</si>
  <si>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 xml:space="preserve">chaC </t>
    </r>
    <r>
      <rPr>
        <sz val="12"/>
        <color theme="1"/>
        <rFont val="Calibri"/>
        <family val="2"/>
        <scheme val="minor"/>
      </rPr>
      <t>Tn7:</t>
    </r>
    <r>
      <rPr>
        <i/>
        <sz val="12"/>
        <color theme="1"/>
        <rFont val="Calibri"/>
        <family val="2"/>
        <scheme val="minor"/>
      </rPr>
      <t>chaC</t>
    </r>
  </si>
  <si>
    <t>Inoculum</t>
  </si>
  <si>
    <t>Replicate</t>
  </si>
  <si>
    <t>Dilution factor counted</t>
  </si>
  <si>
    <t>Cells / mL</t>
  </si>
  <si>
    <t>Average Cells / mL</t>
  </si>
  <si>
    <t>St dev</t>
  </si>
  <si>
    <t>CFU/well</t>
  </si>
  <si>
    <t>MOI (based on number of seeded macrophage- see setup)</t>
  </si>
  <si>
    <t>1A</t>
  </si>
  <si>
    <t>TMTC</t>
  </si>
  <si>
    <t>1B</t>
  </si>
  <si>
    <t>2A</t>
  </si>
  <si>
    <t>2B</t>
  </si>
  <si>
    <t>3A</t>
  </si>
  <si>
    <t>3B</t>
  </si>
  <si>
    <t>Dilution Factor</t>
  </si>
  <si>
    <t>Plate</t>
  </si>
  <si>
    <t>Plate 1</t>
  </si>
  <si>
    <t>Plate 2</t>
  </si>
  <si>
    <t>Average Cells</t>
  </si>
  <si>
    <t>CFU per well</t>
  </si>
  <si>
    <t>T-test</t>
  </si>
  <si>
    <t>Average CFU per well</t>
  </si>
  <si>
    <t>St Dev</t>
  </si>
  <si>
    <t>Original MOI</t>
  </si>
  <si>
    <t>Fold Change</t>
  </si>
  <si>
    <t>1C</t>
  </si>
  <si>
    <t>2C</t>
  </si>
  <si>
    <t>3C</t>
  </si>
  <si>
    <t>50 ul cells plated</t>
  </si>
  <si>
    <t>Track Plate 1</t>
  </si>
  <si>
    <t>Track Plate 2</t>
  </si>
  <si>
    <t>*Plated 50 ul on circular plate</t>
  </si>
  <si>
    <t>T=24</t>
  </si>
  <si>
    <t>2nd measurement</t>
  </si>
  <si>
    <t>1st measurement</t>
  </si>
  <si>
    <t>Average</t>
  </si>
  <si>
    <t>Undiluted</t>
  </si>
  <si>
    <t>Density</t>
  </si>
  <si>
    <t>#</t>
  </si>
  <si>
    <t>∆pigR</t>
  </si>
  <si>
    <t>2x each, each 1/2 plate</t>
  </si>
  <si>
    <t>4A</t>
  </si>
  <si>
    <t>4B</t>
  </si>
  <si>
    <t>4C</t>
  </si>
  <si>
    <t>∆rpsU pF</t>
  </si>
  <si>
    <t>∆rpsU pF-rpsU1</t>
  </si>
  <si>
    <t>∆rpsU pF-rpsU2</t>
  </si>
  <si>
    <t>∆rpsU pF-rpsU3</t>
  </si>
  <si>
    <t>∆rpsU2 pF</t>
  </si>
  <si>
    <t>∆rpsU2 pF-rpsU1</t>
  </si>
  <si>
    <t>∆rpsU2 pF-rpsU2</t>
  </si>
  <si>
    <t>∆rpsU2 pF-rpsU3</t>
  </si>
  <si>
    <t>KRLVS121</t>
  </si>
  <si>
    <t>KRLVS122</t>
  </si>
  <si>
    <t>KRLVS123</t>
  </si>
  <si>
    <t>KRLVS124</t>
  </si>
  <si>
    <t>JCLVS106</t>
  </si>
  <si>
    <t>6 strains in duplicate</t>
  </si>
  <si>
    <t>Round: 6 strains x triplicate wells x duplicate</t>
  </si>
  <si>
    <t>Square: 5 strains x 3 wells x 2 plates; round: ∆pigR x 3 wells x 2 plates</t>
  </si>
  <si>
    <t>LVS ∆rpsU2 pF</t>
  </si>
  <si>
    <t>LVS ∆rpsU2 pF-rpsU2-V</t>
  </si>
  <si>
    <t>LVS ∆rpsU2 pF-rpsU1-V</t>
  </si>
  <si>
    <t>LVS ∆pigR</t>
  </si>
  <si>
    <t>5A</t>
  </si>
  <si>
    <t>5B</t>
  </si>
  <si>
    <t>6A</t>
  </si>
  <si>
    <t>6B</t>
  </si>
  <si>
    <r>
      <t>LVS ∆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 xml:space="preserve"> pF</t>
    </r>
  </si>
  <si>
    <r>
      <t>LVS ∆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 xml:space="preserve"> pF-</t>
    </r>
    <r>
      <rPr>
        <i/>
        <sz val="12"/>
        <color theme="1"/>
        <rFont val="Calibri"/>
        <family val="2"/>
        <scheme val="minor"/>
      </rPr>
      <t>rpsU1</t>
    </r>
    <r>
      <rPr>
        <sz val="12"/>
        <color theme="1"/>
        <rFont val="Calibri"/>
        <family val="2"/>
        <scheme val="minor"/>
      </rPr>
      <t>-V</t>
    </r>
  </si>
  <si>
    <r>
      <t>LVS ∆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 xml:space="preserve"> pF-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>-V</t>
    </r>
  </si>
  <si>
    <r>
      <t>LVS ∆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 xml:space="preserve"> pF-</t>
    </r>
    <r>
      <rPr>
        <i/>
        <sz val="12"/>
        <color theme="1"/>
        <rFont val="Calibri"/>
        <family val="2"/>
        <scheme val="minor"/>
      </rPr>
      <t>rpsU3</t>
    </r>
    <r>
      <rPr>
        <sz val="12"/>
        <color theme="1"/>
        <rFont val="Calibri"/>
        <family val="2"/>
        <scheme val="minor"/>
      </rPr>
      <t>-V</t>
    </r>
  </si>
  <si>
    <r>
      <t>LVS ∆</t>
    </r>
    <r>
      <rPr>
        <i/>
        <sz val="12"/>
        <color theme="1"/>
        <rFont val="Calibri"/>
        <family val="2"/>
        <scheme val="minor"/>
      </rPr>
      <t>pigR</t>
    </r>
  </si>
  <si>
    <r>
      <t>LVS ∆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 xml:space="preserve"> pF-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>-V</t>
    </r>
  </si>
  <si>
    <r>
      <t>LVS ∆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 xml:space="preserve"> pF-</t>
    </r>
    <r>
      <rPr>
        <b/>
        <i/>
        <sz val="12"/>
        <color theme="1"/>
        <rFont val="Calibri"/>
        <family val="2"/>
        <scheme val="minor"/>
      </rPr>
      <t>rpsU1</t>
    </r>
    <r>
      <rPr>
        <b/>
        <sz val="12"/>
        <color theme="1"/>
        <rFont val="Calibri"/>
        <family val="2"/>
        <scheme val="minor"/>
      </rPr>
      <t>-V</t>
    </r>
  </si>
  <si>
    <r>
      <t>LVS ∆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 xml:space="preserve"> pF</t>
    </r>
  </si>
  <si>
    <r>
      <t>LVS ∆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 xml:space="preserve"> pF-</t>
    </r>
    <r>
      <rPr>
        <b/>
        <i/>
        <sz val="12"/>
        <color theme="1"/>
        <rFont val="Calibri"/>
        <family val="2"/>
        <scheme val="minor"/>
      </rPr>
      <t>rpsU3</t>
    </r>
    <r>
      <rPr>
        <b/>
        <sz val="12"/>
        <color theme="1"/>
        <rFont val="Calibri"/>
        <family val="2"/>
        <scheme val="minor"/>
      </rPr>
      <t>-V</t>
    </r>
  </si>
  <si>
    <r>
      <t>LVS ∆</t>
    </r>
    <r>
      <rPr>
        <b/>
        <i/>
        <sz val="12"/>
        <color theme="1"/>
        <rFont val="Calibri"/>
        <family val="2"/>
        <scheme val="minor"/>
      </rPr>
      <t>pigR</t>
    </r>
  </si>
  <si>
    <r>
      <t>LVS ∆</t>
    </r>
    <r>
      <rPr>
        <b/>
        <i/>
        <sz val="12"/>
        <color theme="1"/>
        <rFont val="Calibri"/>
        <family val="2"/>
        <scheme val="minor"/>
      </rPr>
      <t>pigR</t>
    </r>
    <r>
      <rPr>
        <b/>
        <sz val="12"/>
        <color theme="1"/>
        <rFont val="Calibri"/>
        <family val="2"/>
        <scheme val="minor"/>
      </rPr>
      <t>*</t>
    </r>
  </si>
  <si>
    <t>T=2</t>
  </si>
  <si>
    <t>Fold Replication</t>
  </si>
  <si>
    <r>
      <t xml:space="preserve">Generation Time </t>
    </r>
    <r>
      <rPr>
        <i/>
        <sz val="12"/>
        <color theme="1"/>
        <rFont val="Calibri"/>
        <family val="2"/>
        <scheme val="minor"/>
      </rPr>
      <t>in vivo</t>
    </r>
  </si>
  <si>
    <r>
      <t xml:space="preserve">Generation Time </t>
    </r>
    <r>
      <rPr>
        <i/>
        <sz val="12"/>
        <color theme="1"/>
        <rFont val="Calibri"/>
        <family val="2"/>
        <scheme val="minor"/>
      </rPr>
      <t>in vitro</t>
    </r>
  </si>
  <si>
    <t>LVS pF</t>
  </si>
  <si>
    <t>KRLVS120</t>
  </si>
  <si>
    <t>Number of plates- CHA</t>
  </si>
  <si>
    <t>Number of plates - KAN</t>
  </si>
  <si>
    <t>Volume media (uL)</t>
  </si>
  <si>
    <t>5C</t>
  </si>
  <si>
    <t>6C</t>
  </si>
  <si>
    <t>stdev</t>
  </si>
  <si>
    <t>t-test</t>
  </si>
  <si>
    <t>Generation time in vivo</t>
  </si>
  <si>
    <t>Generation time in vitro</t>
  </si>
  <si>
    <t>LVS ΔrpsU2 pF</t>
  </si>
  <si>
    <t>LVS ΔrpsU2 pF-rpsU1-V</t>
  </si>
  <si>
    <t>LVS ΔrpsU2 pF-rpsU2-V</t>
  </si>
  <si>
    <t>LVS ΔrpsU2 pF-rpsU3-V</t>
  </si>
  <si>
    <t>Plus expt 1</t>
  </si>
  <si>
    <t>8 strains in duplicate</t>
  </si>
  <si>
    <t>No T=2 for this expt</t>
  </si>
  <si>
    <t>Square: 7 strains x 2 wells x 2 plates; round: ∆pigR x 2 wells x 2 plates</t>
  </si>
  <si>
    <t>Total plates plus extra</t>
  </si>
  <si>
    <t>For final vol 2 mL at 0.0006</t>
  </si>
  <si>
    <t>For final vol 1 mL at 0.06</t>
  </si>
  <si>
    <t>T-test (vs LVS)</t>
  </si>
  <si>
    <t>T-test (vs ∆rpsU2)</t>
  </si>
  <si>
    <t>T-test (vs ∆rpsU2 pF-rpsU2)</t>
  </si>
  <si>
    <t>Fold change from WT</t>
  </si>
  <si>
    <t>Fold change from ∆rpsU2</t>
  </si>
  <si>
    <t>*=(J6/(0.01*I6))*0.2</t>
  </si>
  <si>
    <t>Fold Replication (from 2 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</si>
</sst>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11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11" fontId="0" fillId="0" borderId="0" xfId="0" applyNumberFormat="1" applyBorder="1"/>
    <xf numFmtId="164" fontId="0" fillId="0" borderId="0" xfId="0" applyNumberFormat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2" fontId="0" fillId="0" borderId="0" xfId="0" applyNumberFormat="1" applyBorder="1"/>
    <xf numFmtId="166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9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4" xfId="0" applyBorder="1"/>
    <xf numFmtId="0" fontId="0" fillId="0" borderId="1" xfId="0" applyFill="1" applyBorder="1" applyAlignment="1">
      <alignment horizontal="right"/>
    </xf>
    <xf numFmtId="11" fontId="0" fillId="0" borderId="1" xfId="0" applyNumberFormat="1" applyFill="1" applyBorder="1"/>
    <xf numFmtId="164" fontId="0" fillId="0" borderId="1" xfId="0" applyNumberFormat="1" applyFill="1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164" fontId="7" fillId="0" borderId="1" xfId="0" applyNumberFormat="1" applyFont="1" applyBorder="1"/>
    <xf numFmtId="1" fontId="7" fillId="0" borderId="1" xfId="0" applyNumberFormat="1" applyFont="1" applyFill="1" applyBorder="1"/>
    <xf numFmtId="2" fontId="7" fillId="0" borderId="1" xfId="0" applyNumberFormat="1" applyFont="1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6" fontId="7" fillId="0" borderId="1" xfId="0" applyNumberFormat="1" applyFont="1" applyBorder="1"/>
    <xf numFmtId="164" fontId="7" fillId="0" borderId="1" xfId="0" applyNumberFormat="1" applyFont="1" applyFill="1" applyBorder="1"/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1" fontId="0" fillId="0" borderId="1" xfId="0" applyNumberFormat="1" applyFill="1" applyBorder="1"/>
    <xf numFmtId="0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6" fontId="0" fillId="0" borderId="6" xfId="0" applyNumberFormat="1" applyFill="1" applyBorder="1" applyAlignment="1">
      <alignment horizontal="right"/>
    </xf>
    <xf numFmtId="2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 applyAlignment="1">
      <alignment horizontal="right"/>
    </xf>
    <xf numFmtId="0" fontId="0" fillId="0" borderId="6" xfId="0" applyFill="1" applyBorder="1" applyAlignment="1">
      <alignment horizontal="center" vertical="center"/>
    </xf>
    <xf numFmtId="164" fontId="9" fillId="0" borderId="0" xfId="0" applyNumberFormat="1" applyFont="1"/>
    <xf numFmtId="164" fontId="10" fillId="0" borderId="0" xfId="0" applyNumberFormat="1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center"/>
    </xf>
    <xf numFmtId="0" fontId="4" fillId="0" borderId="12" xfId="0" applyFont="1" applyFill="1" applyBorder="1"/>
    <xf numFmtId="0" fontId="1" fillId="0" borderId="1" xfId="0" applyFont="1" applyFill="1" applyBorder="1" applyAlignment="1">
      <alignment wrapText="1"/>
    </xf>
    <xf numFmtId="166" fontId="0" fillId="0" borderId="1" xfId="0" applyNumberFormat="1" applyBorder="1"/>
    <xf numFmtId="0" fontId="0" fillId="3" borderId="1" xfId="0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1" fontId="0" fillId="3" borderId="1" xfId="0" applyNumberFormat="1" applyFill="1" applyBorder="1"/>
    <xf numFmtId="11" fontId="0" fillId="3" borderId="1" xfId="0" applyNumberFormat="1" applyFill="1" applyBorder="1"/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4" xfId="0" applyFont="1" applyBorder="1" applyAlignment="1">
      <alignment horizontal="center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Inoculum!$B$18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Inoculum!$C$19:$C$24</c:f>
                <c:numCache>
                  <c:formatCode>General</c:formatCode>
                  <c:ptCount val="6"/>
                  <c:pt idx="0">
                    <c:v>7071.067811865476</c:v>
                  </c:pt>
                  <c:pt idx="1">
                    <c:v>42426.406871192856</c:v>
                  </c:pt>
                  <c:pt idx="2">
                    <c:v>77781.745930520221</c:v>
                  </c:pt>
                  <c:pt idx="3">
                    <c:v>21213.203435596395</c:v>
                  </c:pt>
                  <c:pt idx="4">
                    <c:v>10606.601717798214</c:v>
                  </c:pt>
                  <c:pt idx="5">
                    <c:v>17677.669529663686</c:v>
                  </c:pt>
                </c:numCache>
              </c:numRef>
            </c:plus>
            <c:minus>
              <c:numRef>
                <c:f>Inoculum!$C$19:$C$24</c:f>
                <c:numCache>
                  <c:formatCode>General</c:formatCode>
                  <c:ptCount val="6"/>
                  <c:pt idx="0">
                    <c:v>7071.067811865476</c:v>
                  </c:pt>
                  <c:pt idx="1">
                    <c:v>42426.406871192856</c:v>
                  </c:pt>
                  <c:pt idx="2">
                    <c:v>77781.745930520221</c:v>
                  </c:pt>
                  <c:pt idx="3">
                    <c:v>21213.203435596395</c:v>
                  </c:pt>
                  <c:pt idx="4">
                    <c:v>10606.601717798214</c:v>
                  </c:pt>
                  <c:pt idx="5">
                    <c:v>17677.669529663686</c:v>
                  </c:pt>
                </c:numCache>
              </c:numRef>
            </c:minus>
          </c:errBars>
          <c:cat>
            <c:strRef>
              <c:f>Inoculum!$A$19:$A$24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Inoculum!$B$19:$B$24</c:f>
              <c:numCache>
                <c:formatCode>0.00E+00</c:formatCode>
                <c:ptCount val="6"/>
                <c:pt idx="0">
                  <c:v>304999.99999999994</c:v>
                </c:pt>
                <c:pt idx="1">
                  <c:v>385000</c:v>
                </c:pt>
                <c:pt idx="2">
                  <c:v>259999.99999999997</c:v>
                </c:pt>
                <c:pt idx="3">
                  <c:v>295000</c:v>
                </c:pt>
                <c:pt idx="4">
                  <c:v>247500</c:v>
                </c:pt>
                <c:pt idx="5">
                  <c:v>162500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6-47D7-A0E9-F3AA82FF6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'T=2'!$M$3:$M$8</c:f>
                <c:numCache>
                  <c:formatCode>General</c:formatCode>
                  <c:ptCount val="6"/>
                  <c:pt idx="0">
                    <c:v>124.61674579820053</c:v>
                  </c:pt>
                  <c:pt idx="1">
                    <c:v>72</c:v>
                  </c:pt>
                  <c:pt idx="2">
                    <c:v>57.86190456595773</c:v>
                  </c:pt>
                  <c:pt idx="3">
                    <c:v>29.005746557076122</c:v>
                  </c:pt>
                  <c:pt idx="4">
                    <c:v>103.96794377755744</c:v>
                  </c:pt>
                  <c:pt idx="5">
                    <c:v>123.81168496282302</c:v>
                  </c:pt>
                </c:numCache>
              </c:numRef>
            </c:plus>
            <c:minus>
              <c:numRef>
                <c:f>'T=2'!$M$3:$M$8</c:f>
                <c:numCache>
                  <c:formatCode>General</c:formatCode>
                  <c:ptCount val="6"/>
                  <c:pt idx="0">
                    <c:v>124.61674579820053</c:v>
                  </c:pt>
                  <c:pt idx="1">
                    <c:v>72</c:v>
                  </c:pt>
                  <c:pt idx="2">
                    <c:v>57.86190456595773</c:v>
                  </c:pt>
                  <c:pt idx="3">
                    <c:v>29.005746557076122</c:v>
                  </c:pt>
                  <c:pt idx="4">
                    <c:v>103.96794377755744</c:v>
                  </c:pt>
                  <c:pt idx="5">
                    <c:v>123.81168496282302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cat>
            <c:strRef>
              <c:f>'T=2'!$K$3:$K$8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'T=2'!$L$3:$L$8</c:f>
              <c:numCache>
                <c:formatCode>0.00E+00</c:formatCode>
                <c:ptCount val="6"/>
                <c:pt idx="0">
                  <c:v>223.33333333333334</c:v>
                </c:pt>
                <c:pt idx="1">
                  <c:v>100</c:v>
                </c:pt>
                <c:pt idx="2">
                  <c:v>152</c:v>
                </c:pt>
                <c:pt idx="3">
                  <c:v>243.33333333333334</c:v>
                </c:pt>
                <c:pt idx="4">
                  <c:v>354.66666666666669</c:v>
                </c:pt>
                <c:pt idx="5">
                  <c:v>163.33333333333334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1-47C7-BF3C-EF64641EC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9928384618086"/>
          <c:y val="4.4444444444444398E-2"/>
          <c:w val="0.83014787930960632"/>
          <c:h val="0.7944581330552805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'T=24'!$P$4:$P$9</c:f>
                <c:numCache>
                  <c:formatCode>General</c:formatCode>
                  <c:ptCount val="6"/>
                  <c:pt idx="0">
                    <c:v>70003.571337468209</c:v>
                  </c:pt>
                  <c:pt idx="1">
                    <c:v>2811.4290553619403</c:v>
                  </c:pt>
                  <c:pt idx="2">
                    <c:v>9211.5869063551345</c:v>
                  </c:pt>
                  <c:pt idx="3">
                    <c:v>24879.710609249458</c:v>
                  </c:pt>
                  <c:pt idx="4">
                    <c:v>5396.6038703367276</c:v>
                  </c:pt>
                  <c:pt idx="5">
                    <c:v>2.3094010767585034</c:v>
                  </c:pt>
                </c:numCache>
              </c:numRef>
            </c:plus>
            <c:minus>
              <c:numRef>
                <c:f>'T=24'!$P$4:$P$9</c:f>
                <c:numCache>
                  <c:formatCode>General</c:formatCode>
                  <c:ptCount val="6"/>
                  <c:pt idx="0">
                    <c:v>70003.571337468209</c:v>
                  </c:pt>
                  <c:pt idx="1">
                    <c:v>2811.4290553619403</c:v>
                  </c:pt>
                  <c:pt idx="2">
                    <c:v>9211.5869063551345</c:v>
                  </c:pt>
                  <c:pt idx="3">
                    <c:v>24879.710609249458</c:v>
                  </c:pt>
                  <c:pt idx="4">
                    <c:v>5396.6038703367276</c:v>
                  </c:pt>
                  <c:pt idx="5">
                    <c:v>2.3094010767585034</c:v>
                  </c:pt>
                </c:numCache>
              </c:numRef>
            </c:minus>
          </c:errBars>
          <c:cat>
            <c:strRef>
              <c:f>'T=24'!$N$4:$N$9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'T=24'!$O$4:$O$9</c:f>
              <c:numCache>
                <c:formatCode>0.00E+00</c:formatCode>
                <c:ptCount val="6"/>
                <c:pt idx="0">
                  <c:v>141500</c:v>
                </c:pt>
                <c:pt idx="1">
                  <c:v>4493.333333333333</c:v>
                </c:pt>
                <c:pt idx="2">
                  <c:v>20533.333333333332</c:v>
                </c:pt>
                <c:pt idx="3">
                  <c:v>115000</c:v>
                </c:pt>
                <c:pt idx="4">
                  <c:v>10333.333333333334</c:v>
                </c:pt>
                <c:pt idx="5">
                  <c:v>5.333333333333333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C-814B-A364-060C7A020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9928384618086"/>
          <c:y val="4.4444444444444398E-2"/>
          <c:w val="0.83014787930960632"/>
          <c:h val="0.822793934734527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'T=24'!$AA$2:$AF$2</c:f>
              <c:strCache>
                <c:ptCount val="1"/>
                <c:pt idx="0">
                  <c:v>T=2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'T=24'!$AC$4:$AC$9</c:f>
                <c:numCache>
                  <c:formatCode>General</c:formatCode>
                  <c:ptCount val="6"/>
                  <c:pt idx="0">
                    <c:v>124.61674579820053</c:v>
                  </c:pt>
                  <c:pt idx="1">
                    <c:v>72</c:v>
                  </c:pt>
                  <c:pt idx="2">
                    <c:v>57.86190456595773</c:v>
                  </c:pt>
                  <c:pt idx="3">
                    <c:v>29.005746557076122</c:v>
                  </c:pt>
                  <c:pt idx="4">
                    <c:v>103.96794377755744</c:v>
                  </c:pt>
                  <c:pt idx="5">
                    <c:v>123.81168496282302</c:v>
                  </c:pt>
                </c:numCache>
              </c:numRef>
            </c:plus>
            <c:minus>
              <c:numRef>
                <c:f>'T=24'!$AC$4:$AC$9</c:f>
                <c:numCache>
                  <c:formatCode>General</c:formatCode>
                  <c:ptCount val="6"/>
                  <c:pt idx="0">
                    <c:v>124.61674579820053</c:v>
                  </c:pt>
                  <c:pt idx="1">
                    <c:v>72</c:v>
                  </c:pt>
                  <c:pt idx="2">
                    <c:v>57.86190456595773</c:v>
                  </c:pt>
                  <c:pt idx="3">
                    <c:v>29.005746557076122</c:v>
                  </c:pt>
                  <c:pt idx="4">
                    <c:v>103.96794377755744</c:v>
                  </c:pt>
                  <c:pt idx="5">
                    <c:v>123.81168496282302</c:v>
                  </c:pt>
                </c:numCache>
              </c:numRef>
            </c:minus>
          </c:errBars>
          <c:cat>
            <c:strRef>
              <c:f>'T=24'!$N$4:$N$9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'T=24'!$AB$4:$AB$9</c:f>
              <c:numCache>
                <c:formatCode>0.00E+00</c:formatCode>
                <c:ptCount val="6"/>
                <c:pt idx="0">
                  <c:v>223.33333333333334</c:v>
                </c:pt>
                <c:pt idx="1">
                  <c:v>100</c:v>
                </c:pt>
                <c:pt idx="2">
                  <c:v>152</c:v>
                </c:pt>
                <c:pt idx="3">
                  <c:v>243.33333333333334</c:v>
                </c:pt>
                <c:pt idx="4">
                  <c:v>354.66666666666669</c:v>
                </c:pt>
                <c:pt idx="5">
                  <c:v>163.33333333333334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15-3342-BBB7-D418E94C6120}"/>
            </c:ext>
          </c:extLst>
        </c:ser>
        <c:ser>
          <c:idx val="0"/>
          <c:order val="1"/>
          <c:tx>
            <c:strRef>
              <c:f>'T=24'!$N$2:$W$2</c:f>
              <c:strCache>
                <c:ptCount val="1"/>
                <c:pt idx="0">
                  <c:v>T=24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'T=24'!$P$4:$P$9</c:f>
                <c:numCache>
                  <c:formatCode>General</c:formatCode>
                  <c:ptCount val="6"/>
                  <c:pt idx="0">
                    <c:v>70003.571337468209</c:v>
                  </c:pt>
                  <c:pt idx="1">
                    <c:v>2811.4290553619403</c:v>
                  </c:pt>
                  <c:pt idx="2">
                    <c:v>9211.5869063551345</c:v>
                  </c:pt>
                  <c:pt idx="3">
                    <c:v>24879.710609249458</c:v>
                  </c:pt>
                  <c:pt idx="4">
                    <c:v>5396.6038703367276</c:v>
                  </c:pt>
                  <c:pt idx="5">
                    <c:v>2.3094010767585034</c:v>
                  </c:pt>
                </c:numCache>
              </c:numRef>
            </c:plus>
            <c:minus>
              <c:numRef>
                <c:f>'T=24'!$P$4:$P$9</c:f>
                <c:numCache>
                  <c:formatCode>General</c:formatCode>
                  <c:ptCount val="6"/>
                  <c:pt idx="0">
                    <c:v>70003.571337468209</c:v>
                  </c:pt>
                  <c:pt idx="1">
                    <c:v>2811.4290553619403</c:v>
                  </c:pt>
                  <c:pt idx="2">
                    <c:v>9211.5869063551345</c:v>
                  </c:pt>
                  <c:pt idx="3">
                    <c:v>24879.710609249458</c:v>
                  </c:pt>
                  <c:pt idx="4">
                    <c:v>5396.6038703367276</c:v>
                  </c:pt>
                  <c:pt idx="5">
                    <c:v>2.3094010767585034</c:v>
                  </c:pt>
                </c:numCache>
              </c:numRef>
            </c:minus>
          </c:errBars>
          <c:cat>
            <c:strRef>
              <c:f>'T=24'!$N$4:$N$9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'T=24'!$O$4:$O$9</c:f>
              <c:numCache>
                <c:formatCode>0.00E+00</c:formatCode>
                <c:ptCount val="6"/>
                <c:pt idx="0">
                  <c:v>141500</c:v>
                </c:pt>
                <c:pt idx="1">
                  <c:v>4493.333333333333</c:v>
                </c:pt>
                <c:pt idx="2">
                  <c:v>20533.333333333332</c:v>
                </c:pt>
                <c:pt idx="3">
                  <c:v>115000</c:v>
                </c:pt>
                <c:pt idx="4">
                  <c:v>10333.333333333334</c:v>
                </c:pt>
                <c:pt idx="5">
                  <c:v>5.333333333333333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5-3342-BBB7-D418E94C6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9928384618086"/>
          <c:y val="4.4444444444444398E-2"/>
          <c:w val="0.83014787930960632"/>
          <c:h val="0.8227939347345271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'T=24'!$N$4:$N$9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'T=24'!$W$4:$W$9</c:f>
              <c:numCache>
                <c:formatCode>0.0</c:formatCode>
                <c:ptCount val="6"/>
                <c:pt idx="0">
                  <c:v>633.58208955223881</c:v>
                </c:pt>
                <c:pt idx="1">
                  <c:v>44.93333333333333</c:v>
                </c:pt>
                <c:pt idx="2">
                  <c:v>135.08771929824562</c:v>
                </c:pt>
                <c:pt idx="3">
                  <c:v>472.60273972602738</c:v>
                </c:pt>
                <c:pt idx="4">
                  <c:v>29.13533834586466</c:v>
                </c:pt>
                <c:pt idx="5">
                  <c:v>3.2653061224489792E-2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B-C14C-952C-9E733B5E1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Fold Replication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368300</xdr:colOff>
      <xdr:row>23</xdr:row>
      <xdr:rowOff>158750</xdr:rowOff>
    </xdr:from>
    <xdr:to>
      <xdr:col>14</xdr:col>
      <xdr:colOff>749300</xdr:colOff>
      <xdr:row>35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E61369-F4B1-4418-AE70-3DDAB31CF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419099</xdr:colOff>
      <xdr:row>22</xdr:row>
      <xdr:rowOff>31942</xdr:rowOff>
    </xdr:from>
    <xdr:to>
      <xdr:col>18</xdr:col>
      <xdr:colOff>704273</xdr:colOff>
      <xdr:row>40</xdr:row>
      <xdr:rowOff>194860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51E1F1-F696-4A54-A6D5-3AEE795E2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69997</xdr:colOff>
      <xdr:row>9</xdr:row>
      <xdr:rowOff>157233</xdr:rowOff>
    </xdr:from>
    <xdr:to>
      <xdr:col>23</xdr:col>
      <xdr:colOff>408215</xdr:colOff>
      <xdr:row>30</xdr:row>
      <xdr:rowOff>54429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B7C6C4-FAE4-D84F-ACD2-6C5765F93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260554</xdr:colOff>
      <xdr:row>9</xdr:row>
      <xdr:rowOff>11864</xdr:rowOff>
    </xdr:from>
    <xdr:to>
      <xdr:col>41</xdr:col>
      <xdr:colOff>24192</xdr:colOff>
      <xdr:row>31</xdr:row>
      <xdr:rowOff>148930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ECEBF98-414B-F042-9F3C-EAA352CEB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43542</xdr:colOff>
      <xdr:row>32</xdr:row>
      <xdr:rowOff>88900</xdr:rowOff>
    </xdr:from>
    <xdr:to>
      <xdr:col>32</xdr:col>
      <xdr:colOff>586774</xdr:colOff>
      <xdr:row>52</xdr:row>
      <xdr:rowOff>118538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822CEF-6E5D-5740-8FD5-FBD32FDBD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5C57-8139-4D40-9212-FF2505C90C78}">
  <sheetPr>
    <pageSetUpPr fitToPage="1"/>
  </sheetPr>
  <dimension ref="A1:Z32"/>
  <sheetViews>
    <sheetView topLeftCell="G11" zoomScale="160" zoomScaleNormal="160" workbookViewId="0">
      <selection activeCell="Q19" sqref="Q19"/>
    </sheetView>
  </sheetViews>
  <sheetFormatPr baseColWidth="10" defaultColWidth="10.6640625" defaultRowHeight="16" x14ac:dyDescent="0.2"/>
  <cols>
    <col min="1" max="1" width="2.5" bestFit="1" customWidth="1"/>
    <col min="2" max="4" width="14.33203125" customWidth="1"/>
    <col min="5" max="5" width="2.1640625" bestFit="1" customWidth="1"/>
    <col min="6" max="8" width="14.1640625" customWidth="1"/>
    <col min="9" max="9" width="2.1640625" bestFit="1" customWidth="1"/>
    <col min="10" max="12" width="14.5" customWidth="1"/>
    <col min="13" max="13" width="3.1640625" bestFit="1" customWidth="1"/>
    <col min="14" max="14" width="4.33203125" customWidth="1"/>
    <col min="15" max="15" width="3" customWidth="1"/>
    <col min="16" max="16" width="26.6640625" bestFit="1" customWidth="1"/>
    <col min="17" max="17" width="12.83203125" bestFit="1" customWidth="1"/>
    <col min="18" max="18" width="6.5" customWidth="1"/>
    <col min="19" max="22" width="3.1640625" bestFit="1" customWidth="1"/>
    <col min="23" max="23" width="8.6640625" bestFit="1" customWidth="1"/>
    <col min="25" max="28" width="3.5" customWidth="1"/>
  </cols>
  <sheetData>
    <row r="1" spans="1:26" ht="17" thickBot="1" x14ac:dyDescent="0.25">
      <c r="A1" s="2" t="s">
        <v>0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55"/>
      <c r="P1" s="100" t="s">
        <v>1</v>
      </c>
      <c r="Q1" s="100"/>
      <c r="S1" s="99" t="s">
        <v>88</v>
      </c>
      <c r="T1" s="99"/>
      <c r="U1" s="99"/>
      <c r="V1" s="99"/>
      <c r="W1" s="99"/>
    </row>
    <row r="2" spans="1:26" ht="17" x14ac:dyDescent="0.2">
      <c r="A2" s="5" t="s">
        <v>2</v>
      </c>
      <c r="B2" s="6" t="s">
        <v>137</v>
      </c>
      <c r="C2" s="6" t="s">
        <v>137</v>
      </c>
      <c r="D2" s="6" t="s">
        <v>137</v>
      </c>
      <c r="E2" s="6"/>
      <c r="F2" s="6" t="s">
        <v>98</v>
      </c>
      <c r="G2" s="6" t="s">
        <v>98</v>
      </c>
      <c r="H2" s="6" t="s">
        <v>98</v>
      </c>
      <c r="I2" s="6"/>
      <c r="J2" s="6" t="s">
        <v>99</v>
      </c>
      <c r="K2" s="6" t="s">
        <v>99</v>
      </c>
      <c r="L2" s="6" t="s">
        <v>99</v>
      </c>
      <c r="M2" s="7"/>
      <c r="N2" s="39"/>
      <c r="P2" s="2" t="s">
        <v>4</v>
      </c>
      <c r="Q2" s="9">
        <v>25000</v>
      </c>
      <c r="S2" s="2">
        <v>18</v>
      </c>
      <c r="T2" s="2">
        <v>19</v>
      </c>
      <c r="U2" s="2">
        <v>12</v>
      </c>
      <c r="V2" s="2">
        <v>16</v>
      </c>
      <c r="W2" s="99"/>
    </row>
    <row r="3" spans="1:26" x14ac:dyDescent="0.2">
      <c r="A3" s="5" t="s">
        <v>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"/>
      <c r="N3" s="40"/>
      <c r="P3" s="2" t="s">
        <v>6</v>
      </c>
      <c r="Q3" s="2">
        <v>0.2</v>
      </c>
      <c r="S3" s="2"/>
      <c r="T3" s="2"/>
      <c r="U3" s="2"/>
      <c r="V3" s="2"/>
      <c r="W3" s="99"/>
    </row>
    <row r="4" spans="1:26" x14ac:dyDescent="0.2">
      <c r="A4" s="5" t="s">
        <v>7</v>
      </c>
      <c r="B4" s="6"/>
      <c r="C4" s="6"/>
      <c r="D4" s="6"/>
      <c r="E4" s="7"/>
      <c r="F4" s="6"/>
      <c r="G4" s="6"/>
      <c r="H4" s="6"/>
      <c r="I4" s="8"/>
      <c r="J4" s="6"/>
      <c r="K4" s="6"/>
      <c r="L4" s="6"/>
      <c r="M4" s="2"/>
      <c r="N4" s="40"/>
      <c r="P4" s="2" t="s">
        <v>8</v>
      </c>
      <c r="Q4" s="9">
        <f>Q2/Q3</f>
        <v>125000</v>
      </c>
      <c r="S4" s="99" t="s">
        <v>89</v>
      </c>
      <c r="T4" s="99"/>
      <c r="U4" s="99"/>
      <c r="V4" s="99"/>
      <c r="W4" s="2">
        <f>AVERAGE(S2:V3)</f>
        <v>16.25</v>
      </c>
    </row>
    <row r="5" spans="1:26" ht="17" x14ac:dyDescent="0.2">
      <c r="A5" s="5" t="s">
        <v>9</v>
      </c>
      <c r="B5" s="6" t="s">
        <v>100</v>
      </c>
      <c r="C5" s="6" t="s">
        <v>100</v>
      </c>
      <c r="D5" s="6" t="s">
        <v>100</v>
      </c>
      <c r="E5" s="6"/>
      <c r="F5" s="6" t="s">
        <v>101</v>
      </c>
      <c r="G5" s="6" t="s">
        <v>101</v>
      </c>
      <c r="H5" s="6" t="s">
        <v>101</v>
      </c>
      <c r="I5" s="6"/>
      <c r="J5" s="6" t="s">
        <v>93</v>
      </c>
      <c r="K5" s="6" t="s">
        <v>93</v>
      </c>
      <c r="L5" s="6" t="s">
        <v>93</v>
      </c>
      <c r="M5" s="2"/>
      <c r="N5" s="40"/>
      <c r="P5" s="2" t="s">
        <v>10</v>
      </c>
      <c r="Q5" s="2">
        <v>12</v>
      </c>
      <c r="S5" s="99" t="s">
        <v>90</v>
      </c>
      <c r="T5" s="99"/>
      <c r="U5" s="99"/>
      <c r="V5" s="99"/>
      <c r="W5" s="2">
        <f>W4*2</f>
        <v>32.5</v>
      </c>
      <c r="Z5" s="1"/>
    </row>
    <row r="6" spans="1:26" ht="17" x14ac:dyDescent="0.2">
      <c r="A6" s="5" t="s">
        <v>11</v>
      </c>
      <c r="B6" s="6"/>
      <c r="C6" s="6"/>
      <c r="D6" s="6"/>
      <c r="E6" s="6"/>
      <c r="F6" s="6"/>
      <c r="G6" s="6"/>
      <c r="H6" s="6"/>
      <c r="I6" s="6"/>
      <c r="J6" s="6" t="s">
        <v>0</v>
      </c>
      <c r="K6" s="6"/>
      <c r="L6" s="6"/>
      <c r="M6" s="2"/>
      <c r="N6" s="40"/>
      <c r="P6" s="2" t="s">
        <v>12</v>
      </c>
      <c r="Q6" s="60">
        <f>W6</f>
        <v>325000</v>
      </c>
      <c r="S6" s="99" t="s">
        <v>91</v>
      </c>
      <c r="T6" s="99"/>
      <c r="U6" s="99"/>
      <c r="V6" s="99"/>
      <c r="W6" s="9">
        <f>W5*10000</f>
        <v>325000</v>
      </c>
    </row>
    <row r="7" spans="1:26" x14ac:dyDescent="0.2">
      <c r="A7" s="5" t="s">
        <v>13</v>
      </c>
      <c r="B7" s="10"/>
      <c r="C7" s="12"/>
      <c r="D7" s="6"/>
      <c r="E7" s="6"/>
      <c r="F7" s="6"/>
      <c r="G7" s="6"/>
      <c r="H7" s="6"/>
      <c r="I7" s="11"/>
      <c r="J7" s="11"/>
      <c r="K7" s="11"/>
      <c r="L7" s="11"/>
      <c r="M7" s="2"/>
      <c r="N7" s="40"/>
      <c r="P7" s="2" t="s">
        <v>14</v>
      </c>
      <c r="Q7" s="61">
        <f>(Q5*Q4)/Q6+0.1</f>
        <v>4.7153846153846146</v>
      </c>
    </row>
    <row r="8" spans="1:26" x14ac:dyDescent="0.2">
      <c r="A8" s="5" t="s">
        <v>15</v>
      </c>
      <c r="B8" s="6"/>
      <c r="C8" s="6"/>
      <c r="D8" s="6"/>
      <c r="E8" s="7"/>
      <c r="F8" s="6"/>
      <c r="G8" s="6"/>
      <c r="H8" s="6"/>
      <c r="I8" s="8"/>
      <c r="J8" s="6"/>
      <c r="K8" s="6"/>
      <c r="L8" s="6"/>
      <c r="M8" s="6"/>
      <c r="N8" s="39"/>
      <c r="P8" s="2" t="s">
        <v>16</v>
      </c>
      <c r="Q8" s="61">
        <f>Q5-Q7</f>
        <v>7.2846153846153854</v>
      </c>
      <c r="S8" s="99" t="s">
        <v>87</v>
      </c>
      <c r="T8" s="99"/>
      <c r="U8" s="99"/>
      <c r="V8" s="99"/>
      <c r="W8" s="99"/>
    </row>
    <row r="9" spans="1:26" x14ac:dyDescent="0.2">
      <c r="A9" s="5" t="s">
        <v>17</v>
      </c>
      <c r="B9" s="10"/>
      <c r="C9" s="12"/>
      <c r="D9" s="6"/>
      <c r="E9" s="6"/>
      <c r="F9" s="6"/>
      <c r="G9" s="6"/>
      <c r="H9" s="6"/>
      <c r="I9" s="11"/>
      <c r="J9" s="11"/>
      <c r="K9" s="11"/>
      <c r="L9" s="11"/>
      <c r="M9" s="2"/>
      <c r="N9" s="40"/>
      <c r="P9" s="2" t="s">
        <v>18</v>
      </c>
      <c r="Q9" s="60">
        <f>W15</f>
        <v>158333.33333333334</v>
      </c>
      <c r="S9" s="2">
        <v>5</v>
      </c>
      <c r="T9" s="2">
        <v>2</v>
      </c>
      <c r="U9" s="2">
        <v>7</v>
      </c>
      <c r="V9" s="2">
        <v>4</v>
      </c>
      <c r="W9" s="99"/>
    </row>
    <row r="10" spans="1:26" x14ac:dyDescent="0.2">
      <c r="H10" s="1"/>
      <c r="P10" s="2" t="s">
        <v>19</v>
      </c>
      <c r="Q10" s="60">
        <f>Q9*0.2</f>
        <v>31666.666666666672</v>
      </c>
      <c r="S10" s="2">
        <v>18</v>
      </c>
      <c r="T10" s="2">
        <v>8</v>
      </c>
      <c r="U10" s="2">
        <v>4</v>
      </c>
      <c r="V10" s="2">
        <v>8</v>
      </c>
      <c r="W10" s="99"/>
    </row>
    <row r="11" spans="1:26" x14ac:dyDescent="0.2">
      <c r="S11" s="2">
        <v>13</v>
      </c>
      <c r="T11" s="2">
        <v>15</v>
      </c>
      <c r="U11" s="2">
        <v>5</v>
      </c>
      <c r="V11" s="2">
        <v>6</v>
      </c>
      <c r="W11" s="99"/>
    </row>
    <row r="12" spans="1:26" x14ac:dyDescent="0.2">
      <c r="S12" s="2"/>
      <c r="T12" s="2"/>
      <c r="U12" s="2"/>
      <c r="V12" s="2"/>
      <c r="W12" s="99"/>
    </row>
    <row r="13" spans="1:26" x14ac:dyDescent="0.2">
      <c r="S13" s="99" t="s">
        <v>89</v>
      </c>
      <c r="T13" s="99"/>
      <c r="U13" s="99"/>
      <c r="V13" s="99"/>
      <c r="W13" s="2">
        <f>AVERAGE(S9:V12)</f>
        <v>7.916666666666667</v>
      </c>
    </row>
    <row r="14" spans="1:26" x14ac:dyDescent="0.2">
      <c r="S14" s="99" t="s">
        <v>90</v>
      </c>
      <c r="T14" s="99"/>
      <c r="U14" s="99"/>
      <c r="V14" s="99"/>
      <c r="W14" s="2">
        <f>W13*2</f>
        <v>15.833333333333334</v>
      </c>
    </row>
    <row r="15" spans="1:26" x14ac:dyDescent="0.2">
      <c r="S15" s="99" t="s">
        <v>91</v>
      </c>
      <c r="T15" s="99"/>
      <c r="U15" s="99"/>
      <c r="V15" s="99"/>
      <c r="W15" s="9">
        <f>W14*10000</f>
        <v>158333.33333333334</v>
      </c>
    </row>
    <row r="17" spans="15:25" x14ac:dyDescent="0.2">
      <c r="P17" s="4" t="s">
        <v>26</v>
      </c>
      <c r="Q17" s="4" t="s">
        <v>27</v>
      </c>
    </row>
    <row r="18" spans="15:25" x14ac:dyDescent="0.2">
      <c r="P18" s="2" t="s">
        <v>29</v>
      </c>
      <c r="Q18" s="14">
        <v>5</v>
      </c>
    </row>
    <row r="19" spans="15:25" x14ac:dyDescent="0.2">
      <c r="P19" s="2" t="s">
        <v>31</v>
      </c>
      <c r="Q19" s="15">
        <f>Q10</f>
        <v>31666.666666666672</v>
      </c>
    </row>
    <row r="20" spans="15:25" x14ac:dyDescent="0.2">
      <c r="P20" s="2" t="s">
        <v>33</v>
      </c>
      <c r="Q20" s="14">
        <v>0.05</v>
      </c>
    </row>
    <row r="21" spans="15:25" ht="34" x14ac:dyDescent="0.2">
      <c r="P21" s="16" t="s">
        <v>36</v>
      </c>
      <c r="Q21" s="15">
        <f>(Q19*Q18/Q20)</f>
        <v>3166666.6666666674</v>
      </c>
      <c r="Y21" s="1"/>
    </row>
    <row r="22" spans="15:25" x14ac:dyDescent="0.2">
      <c r="P22" s="2" t="s">
        <v>38</v>
      </c>
      <c r="Q22" s="15">
        <v>5810000000</v>
      </c>
    </row>
    <row r="23" spans="15:25" x14ac:dyDescent="0.2">
      <c r="P23" s="2" t="s">
        <v>39</v>
      </c>
      <c r="Q23" s="17">
        <f>Q21/Q22</f>
        <v>5.45037292025244E-4</v>
      </c>
    </row>
    <row r="24" spans="15:25" x14ac:dyDescent="0.2">
      <c r="P24" s="2" t="s">
        <v>40</v>
      </c>
      <c r="Q24" s="18">
        <v>0.06</v>
      </c>
    </row>
    <row r="25" spans="15:25" x14ac:dyDescent="0.2">
      <c r="P25" s="2" t="s">
        <v>41</v>
      </c>
      <c r="Q25" s="19">
        <f>Q24/100</f>
        <v>5.9999999999999995E-4</v>
      </c>
    </row>
    <row r="27" spans="15:25" x14ac:dyDescent="0.2">
      <c r="O27" s="2">
        <v>1</v>
      </c>
      <c r="P27" s="2" t="s">
        <v>137</v>
      </c>
      <c r="Q27" s="2" t="s">
        <v>138</v>
      </c>
    </row>
    <row r="28" spans="15:25" x14ac:dyDescent="0.2">
      <c r="O28" s="2">
        <v>2</v>
      </c>
      <c r="P28" s="2" t="s">
        <v>102</v>
      </c>
      <c r="Q28" s="62" t="s">
        <v>106</v>
      </c>
    </row>
    <row r="29" spans="15:25" x14ac:dyDescent="0.2">
      <c r="O29" s="2">
        <v>3</v>
      </c>
      <c r="P29" s="2" t="s">
        <v>103</v>
      </c>
      <c r="Q29" s="62" t="s">
        <v>107</v>
      </c>
    </row>
    <row r="30" spans="15:25" x14ac:dyDescent="0.2">
      <c r="O30" s="2">
        <v>4</v>
      </c>
      <c r="P30" s="2" t="s">
        <v>104</v>
      </c>
      <c r="Q30" s="62" t="s">
        <v>108</v>
      </c>
    </row>
    <row r="31" spans="15:25" x14ac:dyDescent="0.2">
      <c r="O31" s="2">
        <v>5</v>
      </c>
      <c r="P31" s="2" t="s">
        <v>105</v>
      </c>
      <c r="Q31" s="62" t="s">
        <v>109</v>
      </c>
    </row>
    <row r="32" spans="15:25" x14ac:dyDescent="0.2">
      <c r="O32" s="2">
        <v>6</v>
      </c>
      <c r="P32" s="2" t="s">
        <v>93</v>
      </c>
      <c r="Q32" s="62" t="s">
        <v>110</v>
      </c>
    </row>
  </sheetData>
  <mergeCells count="11">
    <mergeCell ref="P1:Q1"/>
    <mergeCell ref="S1:W1"/>
    <mergeCell ref="S8:W8"/>
    <mergeCell ref="S4:V4"/>
    <mergeCell ref="S5:V5"/>
    <mergeCell ref="S6:V6"/>
    <mergeCell ref="S13:V13"/>
    <mergeCell ref="S14:V14"/>
    <mergeCell ref="S15:V15"/>
    <mergeCell ref="W2:W3"/>
    <mergeCell ref="W9:W12"/>
  </mergeCells>
  <phoneticPr fontId="6" type="noConversion"/>
  <pageMargins left="0.25" right="0.25" top="0.75" bottom="0.75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F144-0068-344F-A19C-2945CA9942F0}">
  <sheetPr>
    <pageSetUpPr fitToPage="1"/>
  </sheetPr>
  <dimension ref="A2:AA39"/>
  <sheetViews>
    <sheetView topLeftCell="A14" zoomScale="180" zoomScaleNormal="180" workbookViewId="0">
      <selection activeCell="G20" sqref="G20"/>
    </sheetView>
  </sheetViews>
  <sheetFormatPr baseColWidth="10" defaultColWidth="10.6640625" defaultRowHeight="16" x14ac:dyDescent="0.2"/>
  <cols>
    <col min="1" max="1" width="16" bestFit="1" customWidth="1"/>
    <col min="2" max="2" width="10.6640625" bestFit="1" customWidth="1"/>
    <col min="3" max="3" width="4.83203125" bestFit="1" customWidth="1"/>
    <col min="4" max="4" width="10.6640625" bestFit="1" customWidth="1"/>
    <col min="5" max="5" width="4.83203125" bestFit="1" customWidth="1"/>
    <col min="6" max="6" width="31.6640625" customWidth="1"/>
    <col min="8" max="10" width="16.33203125" customWidth="1"/>
    <col min="12" max="14" width="16.33203125" customWidth="1"/>
    <col min="17" max="17" width="26.6640625" bestFit="1" customWidth="1"/>
    <col min="20" max="20" width="33.5" bestFit="1" customWidth="1"/>
  </cols>
  <sheetData>
    <row r="2" spans="1:10" x14ac:dyDescent="0.2">
      <c r="J2" s="1"/>
    </row>
    <row r="4" spans="1:10" x14ac:dyDescent="0.2">
      <c r="A4" s="45"/>
      <c r="B4" s="46" t="s">
        <v>139</v>
      </c>
      <c r="C4" s="45"/>
      <c r="D4" s="46" t="s">
        <v>140</v>
      </c>
      <c r="E4" s="45"/>
      <c r="F4" s="45"/>
    </row>
    <row r="5" spans="1:10" x14ac:dyDescent="0.2">
      <c r="A5" s="47" t="s">
        <v>20</v>
      </c>
      <c r="B5" s="47" t="s">
        <v>21</v>
      </c>
      <c r="C5" s="47" t="s">
        <v>22</v>
      </c>
      <c r="D5" s="47" t="s">
        <v>21</v>
      </c>
      <c r="E5" s="47" t="s">
        <v>22</v>
      </c>
      <c r="F5" s="47" t="s">
        <v>23</v>
      </c>
    </row>
    <row r="6" spans="1:10" x14ac:dyDescent="0.2">
      <c r="A6" s="48" t="s">
        <v>24</v>
      </c>
      <c r="B6" s="48">
        <v>1</v>
      </c>
      <c r="C6" s="48"/>
      <c r="D6" s="48">
        <v>5</v>
      </c>
      <c r="E6" s="48"/>
      <c r="F6" s="48" t="s">
        <v>94</v>
      </c>
    </row>
    <row r="7" spans="1:10" x14ac:dyDescent="0.2">
      <c r="A7" s="48" t="s">
        <v>25</v>
      </c>
      <c r="B7" s="48">
        <v>0</v>
      </c>
      <c r="C7" s="48">
        <v>2</v>
      </c>
      <c r="D7" s="48">
        <v>0</v>
      </c>
      <c r="E7" s="48">
        <f>5*2</f>
        <v>10</v>
      </c>
      <c r="F7" s="48" t="s">
        <v>111</v>
      </c>
    </row>
    <row r="8" spans="1:10" x14ac:dyDescent="0.2">
      <c r="A8" s="48" t="s">
        <v>28</v>
      </c>
      <c r="B8" s="48">
        <f>1*3*2</f>
        <v>6</v>
      </c>
      <c r="C8" s="48">
        <v>0</v>
      </c>
      <c r="D8" s="48">
        <f>5*3*2</f>
        <v>30</v>
      </c>
      <c r="E8" s="48">
        <v>0</v>
      </c>
      <c r="F8" s="48" t="s">
        <v>112</v>
      </c>
    </row>
    <row r="9" spans="1:10" ht="25" x14ac:dyDescent="0.2">
      <c r="A9" s="48" t="s">
        <v>30</v>
      </c>
      <c r="B9" s="48">
        <f>3*2</f>
        <v>6</v>
      </c>
      <c r="C9" s="48"/>
      <c r="D9" s="48"/>
      <c r="E9" s="48">
        <f>5*3*2</f>
        <v>30</v>
      </c>
      <c r="F9" s="49" t="s">
        <v>113</v>
      </c>
    </row>
    <row r="10" spans="1:10" x14ac:dyDescent="0.2">
      <c r="A10" s="48" t="s">
        <v>32</v>
      </c>
      <c r="B10" s="48">
        <f>SUM(B6:B9)</f>
        <v>13</v>
      </c>
      <c r="C10" s="48">
        <f>SUM(C6:C9)</f>
        <v>2</v>
      </c>
      <c r="D10" s="48">
        <f>SUM(D6:D9)</f>
        <v>35</v>
      </c>
      <c r="E10" s="48">
        <f>SUM(E6:E9)</f>
        <v>40</v>
      </c>
      <c r="F10" s="103" t="s">
        <v>35</v>
      </c>
      <c r="H10">
        <v>19</v>
      </c>
    </row>
    <row r="11" spans="1:10" ht="17" thickBot="1" x14ac:dyDescent="0.25">
      <c r="A11" s="50" t="s">
        <v>34</v>
      </c>
      <c r="B11" s="50">
        <f>B10/25</f>
        <v>0.52</v>
      </c>
      <c r="C11" s="51">
        <f>C10/20</f>
        <v>0.1</v>
      </c>
      <c r="D11" s="50">
        <f>D10/25</f>
        <v>1.4</v>
      </c>
      <c r="E11" s="51">
        <f>E10/20</f>
        <v>2</v>
      </c>
      <c r="F11" s="103"/>
      <c r="H11">
        <f>36+6</f>
        <v>42</v>
      </c>
    </row>
    <row r="12" spans="1:10" ht="17" thickBot="1" x14ac:dyDescent="0.25">
      <c r="A12" s="52" t="s">
        <v>37</v>
      </c>
      <c r="B12" s="53">
        <f>SUM(B11:C11)</f>
        <v>0.62</v>
      </c>
      <c r="C12" s="45"/>
      <c r="D12" s="53">
        <f>SUM(D11:E11)</f>
        <v>3.4</v>
      </c>
      <c r="E12" s="45"/>
      <c r="F12" s="45"/>
      <c r="H12">
        <f>H11-H10</f>
        <v>23</v>
      </c>
    </row>
    <row r="18" spans="1:27" x14ac:dyDescent="0.2">
      <c r="A18" t="s">
        <v>152</v>
      </c>
      <c r="G18" s="46" t="s">
        <v>140</v>
      </c>
      <c r="H18" s="45"/>
    </row>
    <row r="19" spans="1:27" x14ac:dyDescent="0.2">
      <c r="A19" s="47" t="s">
        <v>20</v>
      </c>
      <c r="B19" s="47" t="s">
        <v>21</v>
      </c>
      <c r="C19" s="47" t="s">
        <v>22</v>
      </c>
      <c r="D19" s="47" t="s">
        <v>23</v>
      </c>
      <c r="G19" s="47" t="s">
        <v>21</v>
      </c>
      <c r="H19" s="47" t="s">
        <v>22</v>
      </c>
    </row>
    <row r="20" spans="1:27" x14ac:dyDescent="0.2">
      <c r="A20" s="48" t="s">
        <v>24</v>
      </c>
      <c r="B20" s="48">
        <v>8</v>
      </c>
      <c r="C20" s="48"/>
      <c r="D20" s="48" t="s">
        <v>94</v>
      </c>
      <c r="G20" s="48">
        <v>5</v>
      </c>
      <c r="H20" s="48"/>
    </row>
    <row r="21" spans="1:27" x14ac:dyDescent="0.2">
      <c r="A21" s="48" t="s">
        <v>25</v>
      </c>
      <c r="B21" s="48">
        <v>0</v>
      </c>
      <c r="C21" s="48">
        <v>16</v>
      </c>
      <c r="D21" s="48" t="s">
        <v>153</v>
      </c>
      <c r="G21" s="48">
        <v>0</v>
      </c>
      <c r="H21" s="48">
        <f>5*2</f>
        <v>10</v>
      </c>
    </row>
    <row r="22" spans="1:27" x14ac:dyDescent="0.2">
      <c r="A22" s="48" t="s">
        <v>28</v>
      </c>
      <c r="B22" s="48">
        <v>0</v>
      </c>
      <c r="C22" s="48">
        <v>0</v>
      </c>
      <c r="D22" s="48" t="s">
        <v>154</v>
      </c>
      <c r="G22" s="48">
        <f>5*3*2</f>
        <v>30</v>
      </c>
      <c r="H22" s="48">
        <v>0</v>
      </c>
    </row>
    <row r="23" spans="1:27" ht="61" x14ac:dyDescent="0.2">
      <c r="A23" s="48" t="s">
        <v>30</v>
      </c>
      <c r="B23" s="48">
        <v>4</v>
      </c>
      <c r="C23" s="48">
        <v>28</v>
      </c>
      <c r="D23" s="49" t="s">
        <v>155</v>
      </c>
      <c r="G23" s="48"/>
      <c r="H23" s="48">
        <f>5*3*2</f>
        <v>30</v>
      </c>
    </row>
    <row r="24" spans="1:27" x14ac:dyDescent="0.2">
      <c r="A24" s="48" t="s">
        <v>32</v>
      </c>
      <c r="B24" s="48">
        <f>SUM(B20:B23)+B10</f>
        <v>25</v>
      </c>
      <c r="C24" s="48">
        <f>SUM(C20:C23)+C10</f>
        <v>46</v>
      </c>
      <c r="D24" s="49"/>
      <c r="G24" s="48">
        <f>SUM(G20:G23)</f>
        <v>35</v>
      </c>
      <c r="H24" s="48">
        <f>SUM(H20:H23)</f>
        <v>40</v>
      </c>
    </row>
    <row r="25" spans="1:27" x14ac:dyDescent="0.2">
      <c r="A25" s="48" t="s">
        <v>156</v>
      </c>
      <c r="B25" s="92">
        <v>30</v>
      </c>
      <c r="C25" s="92">
        <v>50</v>
      </c>
      <c r="D25" s="103" t="s">
        <v>35</v>
      </c>
      <c r="G25">
        <v>40</v>
      </c>
      <c r="H25">
        <v>45</v>
      </c>
    </row>
    <row r="26" spans="1:27" ht="17" thickBot="1" x14ac:dyDescent="0.25">
      <c r="A26" s="50" t="s">
        <v>34</v>
      </c>
      <c r="B26" s="50">
        <f>B25/25</f>
        <v>1.2</v>
      </c>
      <c r="C26" s="51">
        <f>C25/20</f>
        <v>2.5</v>
      </c>
      <c r="D26" s="103"/>
      <c r="G26" s="50">
        <f>G25/25</f>
        <v>1.6</v>
      </c>
      <c r="H26" s="51">
        <f>H25/20</f>
        <v>2.25</v>
      </c>
    </row>
    <row r="27" spans="1:27" ht="17" thickBot="1" x14ac:dyDescent="0.25">
      <c r="A27" s="52" t="s">
        <v>37</v>
      </c>
      <c r="B27" s="53">
        <f>SUM(B26:C26)</f>
        <v>3.7</v>
      </c>
      <c r="C27" s="45"/>
      <c r="D27" s="45"/>
      <c r="G27" s="53">
        <f>SUM(G26:H26)</f>
        <v>3.85</v>
      </c>
      <c r="H27" s="45"/>
      <c r="I27">
        <f>SUM(B27,G27)</f>
        <v>7.5500000000000007</v>
      </c>
    </row>
    <row r="28" spans="1:27" x14ac:dyDescent="0.2">
      <c r="X28" s="101" t="s">
        <v>42</v>
      </c>
      <c r="Y28" s="102"/>
    </row>
    <row r="29" spans="1:27" ht="68" x14ac:dyDescent="0.2">
      <c r="B29">
        <f>30-13</f>
        <v>17</v>
      </c>
      <c r="C29">
        <f>B29*24</f>
        <v>408</v>
      </c>
      <c r="D29">
        <f>600-C29</f>
        <v>192</v>
      </c>
      <c r="U29" s="11" t="s">
        <v>43</v>
      </c>
      <c r="V29" s="11" t="s">
        <v>44</v>
      </c>
      <c r="W29" s="6" t="s">
        <v>45</v>
      </c>
      <c r="X29" s="6" t="s">
        <v>46</v>
      </c>
      <c r="Y29" s="6" t="s">
        <v>47</v>
      </c>
      <c r="Z29" s="6" t="s">
        <v>48</v>
      </c>
      <c r="AA29" s="6" t="s">
        <v>49</v>
      </c>
    </row>
    <row r="30" spans="1:27" ht="17" x14ac:dyDescent="0.2">
      <c r="U30" s="11">
        <v>1</v>
      </c>
      <c r="V30" s="6" t="s">
        <v>3</v>
      </c>
      <c r="W30" s="2">
        <v>0.9</v>
      </c>
      <c r="X30" s="2">
        <v>36.1</v>
      </c>
      <c r="Y30" s="2">
        <f>1300-X30</f>
        <v>1263.9000000000001</v>
      </c>
      <c r="Z30" s="2">
        <v>1.9E-2</v>
      </c>
      <c r="AA30" s="2">
        <v>12.5</v>
      </c>
    </row>
    <row r="31" spans="1:27" ht="18" thickBot="1" x14ac:dyDescent="0.25">
      <c r="A31" s="2" t="s">
        <v>0</v>
      </c>
      <c r="B31" s="3">
        <v>1</v>
      </c>
      <c r="C31" s="3">
        <v>2</v>
      </c>
      <c r="D31" s="3">
        <v>1</v>
      </c>
      <c r="E31" s="3">
        <v>2</v>
      </c>
      <c r="F31" s="3">
        <v>3</v>
      </c>
      <c r="G31" s="3">
        <v>4</v>
      </c>
      <c r="H31" s="3">
        <v>5</v>
      </c>
      <c r="I31" s="3">
        <v>6</v>
      </c>
      <c r="J31" s="3">
        <v>7</v>
      </c>
      <c r="K31" s="3">
        <v>8</v>
      </c>
      <c r="L31" s="3">
        <v>9</v>
      </c>
      <c r="M31" s="3">
        <v>10</v>
      </c>
      <c r="N31" s="3">
        <v>11</v>
      </c>
      <c r="O31" s="3">
        <v>12</v>
      </c>
      <c r="U31" s="11">
        <v>2</v>
      </c>
      <c r="V31" s="20" t="s">
        <v>50</v>
      </c>
      <c r="W31" s="2">
        <v>1.1000000000000001</v>
      </c>
      <c r="X31" s="2">
        <v>29.5</v>
      </c>
      <c r="Y31" s="2">
        <f t="shared" ref="Y31:Y32" si="0">1300-X31</f>
        <v>1270.5</v>
      </c>
      <c r="Z31" s="2">
        <v>0.02</v>
      </c>
      <c r="AA31" s="2">
        <v>12.5</v>
      </c>
    </row>
    <row r="32" spans="1:27" ht="34" x14ac:dyDescent="0.2">
      <c r="A32" s="5" t="s">
        <v>2</v>
      </c>
      <c r="B32" s="6" t="s">
        <v>51</v>
      </c>
      <c r="C32" s="6"/>
      <c r="D32" s="6" t="s">
        <v>51</v>
      </c>
      <c r="E32" s="6"/>
      <c r="F32" s="6"/>
      <c r="G32" s="7"/>
      <c r="H32" s="7"/>
      <c r="I32" s="20"/>
      <c r="J32" s="20"/>
      <c r="K32" s="20"/>
      <c r="L32" s="7"/>
      <c r="M32" s="7"/>
      <c r="N32" s="7"/>
      <c r="O32" s="7"/>
      <c r="U32" s="11">
        <v>3</v>
      </c>
      <c r="V32" s="20" t="s">
        <v>52</v>
      </c>
      <c r="W32" s="2">
        <v>1.27</v>
      </c>
      <c r="X32" s="2">
        <v>25.6</v>
      </c>
      <c r="Y32" s="2">
        <f t="shared" si="0"/>
        <v>1274.4000000000001</v>
      </c>
      <c r="Z32" s="2">
        <v>2.1000000000000001E-2</v>
      </c>
      <c r="AA32" s="2">
        <v>12.5</v>
      </c>
    </row>
    <row r="33" spans="1:15" x14ac:dyDescent="0.2">
      <c r="A33" s="5" t="s">
        <v>5</v>
      </c>
      <c r="B33" s="10">
        <v>0.1</v>
      </c>
      <c r="C33" s="2"/>
      <c r="D33" s="10">
        <v>0.1</v>
      </c>
      <c r="E33" s="2"/>
      <c r="F33" s="6"/>
      <c r="G33" s="6"/>
      <c r="H33" s="6"/>
      <c r="I33" s="6"/>
      <c r="J33" s="6"/>
      <c r="K33" s="6"/>
      <c r="L33" s="6"/>
      <c r="M33" s="6"/>
      <c r="N33" s="11"/>
      <c r="O33" s="2"/>
    </row>
    <row r="34" spans="1:15" x14ac:dyDescent="0.2">
      <c r="A34" s="5" t="s">
        <v>7</v>
      </c>
      <c r="B34" s="7">
        <f>B33/10</f>
        <v>0.01</v>
      </c>
      <c r="C34" s="7"/>
      <c r="D34" s="7">
        <f>D33/10</f>
        <v>0.01</v>
      </c>
      <c r="E34" s="7"/>
      <c r="F34" s="7"/>
      <c r="G34" s="6"/>
      <c r="H34" s="7"/>
      <c r="I34" s="7"/>
      <c r="J34" s="7"/>
      <c r="K34" s="6"/>
      <c r="L34" s="7"/>
      <c r="M34" s="7"/>
      <c r="N34" s="7"/>
      <c r="O34" s="2"/>
    </row>
    <row r="35" spans="1:15" x14ac:dyDescent="0.2">
      <c r="A35" s="5" t="s">
        <v>9</v>
      </c>
      <c r="B35" s="7">
        <f>B34/10</f>
        <v>1E-3</v>
      </c>
      <c r="C35" s="6"/>
      <c r="D35" s="7">
        <f>D34/10</f>
        <v>1E-3</v>
      </c>
      <c r="E35" s="6"/>
      <c r="F35" s="6"/>
      <c r="G35" s="7"/>
      <c r="H35" s="7"/>
      <c r="I35" s="20"/>
      <c r="J35" s="20"/>
      <c r="K35" s="20"/>
      <c r="L35" s="7"/>
      <c r="M35" s="7"/>
      <c r="O35" s="2"/>
    </row>
    <row r="36" spans="1:15" x14ac:dyDescent="0.2">
      <c r="A36" s="5" t="s">
        <v>11</v>
      </c>
      <c r="B36" s="10">
        <v>0.1</v>
      </c>
      <c r="C36" s="12"/>
      <c r="D36" s="10">
        <v>0.1</v>
      </c>
      <c r="E36" s="12"/>
      <c r="F36" s="6"/>
      <c r="G36" s="11"/>
      <c r="H36" s="6"/>
      <c r="I36" s="6"/>
      <c r="J36" s="6"/>
      <c r="K36" s="11"/>
      <c r="L36" s="11"/>
      <c r="M36" s="11"/>
      <c r="N36" s="11"/>
      <c r="O36" s="2"/>
    </row>
    <row r="37" spans="1:15" x14ac:dyDescent="0.2">
      <c r="A37" s="5" t="s">
        <v>13</v>
      </c>
      <c r="B37" s="7">
        <f>B36/10</f>
        <v>0.01</v>
      </c>
      <c r="C37" s="11"/>
      <c r="D37" s="7">
        <f>D36/10</f>
        <v>0.01</v>
      </c>
      <c r="E37" s="11"/>
      <c r="F37" s="6"/>
      <c r="G37" s="11"/>
      <c r="H37" s="2"/>
      <c r="I37" s="11"/>
      <c r="J37" s="21"/>
      <c r="K37" s="11"/>
      <c r="L37" s="11"/>
      <c r="M37" s="11"/>
      <c r="N37" s="11"/>
      <c r="O37" s="2"/>
    </row>
    <row r="38" spans="1:15" x14ac:dyDescent="0.2">
      <c r="A38" s="5" t="s">
        <v>15</v>
      </c>
      <c r="B38" s="7">
        <f>B37/10</f>
        <v>1E-3</v>
      </c>
      <c r="C38" s="12"/>
      <c r="D38" s="7">
        <f>D37/10</f>
        <v>1E-3</v>
      </c>
      <c r="E38" s="12"/>
      <c r="F38" s="6"/>
      <c r="G38" s="6"/>
      <c r="H38" s="6"/>
      <c r="I38" s="6"/>
      <c r="J38" s="6"/>
      <c r="K38" s="2"/>
      <c r="L38" s="6"/>
      <c r="M38" s="6"/>
      <c r="N38" s="6"/>
      <c r="O38" s="6"/>
    </row>
    <row r="39" spans="1:15" x14ac:dyDescent="0.2">
      <c r="A39" s="5" t="s">
        <v>17</v>
      </c>
      <c r="B39" s="10"/>
      <c r="C39" s="12"/>
      <c r="D39" s="10"/>
      <c r="E39" s="12"/>
      <c r="F39" s="6"/>
      <c r="G39" s="2"/>
      <c r="H39" s="2"/>
      <c r="I39" s="2"/>
      <c r="J39" s="9"/>
      <c r="K39" s="2"/>
      <c r="L39" s="2"/>
      <c r="M39" s="2"/>
      <c r="N39" s="2"/>
      <c r="O39" s="2"/>
    </row>
  </sheetData>
  <mergeCells count="3">
    <mergeCell ref="X28:Y28"/>
    <mergeCell ref="F10:F11"/>
    <mergeCell ref="D25:D26"/>
  </mergeCells>
  <pageMargins left="0.7" right="0.7" top="0.75" bottom="0.75" header="0.3" footer="0.3"/>
  <pageSetup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0A7C-E09B-4F01-87CD-1344538A550F}">
  <sheetPr>
    <pageSetUpPr fitToPage="1"/>
  </sheetPr>
  <dimension ref="L1:R19"/>
  <sheetViews>
    <sheetView topLeftCell="I8" zoomScale="190" zoomScaleNormal="190" workbookViewId="0">
      <selection activeCell="L14" sqref="L14"/>
    </sheetView>
  </sheetViews>
  <sheetFormatPr baseColWidth="10" defaultColWidth="10.6640625" defaultRowHeight="16" x14ac:dyDescent="0.2"/>
  <cols>
    <col min="1" max="1" width="10" bestFit="1" customWidth="1"/>
    <col min="2" max="2" width="27.1640625" bestFit="1" customWidth="1"/>
    <col min="3" max="3" width="18.33203125" bestFit="1" customWidth="1"/>
    <col min="4" max="4" width="11.1640625" customWidth="1"/>
    <col min="5" max="5" width="13" customWidth="1"/>
    <col min="6" max="6" width="10.1640625" customWidth="1"/>
    <col min="7" max="7" width="14.83203125" customWidth="1"/>
    <col min="12" max="12" width="5.5" bestFit="1" customWidth="1"/>
    <col min="13" max="13" width="11.1640625" bestFit="1" customWidth="1"/>
    <col min="14" max="14" width="10.1640625" bestFit="1" customWidth="1"/>
    <col min="15" max="15" width="9.5" bestFit="1" customWidth="1"/>
    <col min="16" max="16" width="4.83203125" bestFit="1" customWidth="1"/>
    <col min="17" max="17" width="6.5" bestFit="1" customWidth="1"/>
    <col min="18" max="18" width="9" bestFit="1" customWidth="1"/>
  </cols>
  <sheetData>
    <row r="1" spans="12:18" ht="46" customHeight="1" x14ac:dyDescent="0.2"/>
    <row r="12" spans="12:18" ht="25" x14ac:dyDescent="0.2">
      <c r="L12" s="64"/>
      <c r="M12" s="64"/>
      <c r="N12" s="64"/>
      <c r="O12" s="65" t="s">
        <v>158</v>
      </c>
      <c r="Q12" s="104" t="s">
        <v>157</v>
      </c>
      <c r="R12" s="104"/>
    </row>
    <row r="13" spans="12:18" ht="24" x14ac:dyDescent="0.2">
      <c r="L13" s="66" t="s">
        <v>43</v>
      </c>
      <c r="M13" s="66" t="s">
        <v>44</v>
      </c>
      <c r="N13" s="67" t="s">
        <v>45</v>
      </c>
      <c r="O13" s="67" t="s">
        <v>46</v>
      </c>
      <c r="P13" s="67" t="s">
        <v>48</v>
      </c>
      <c r="Q13" s="67" t="s">
        <v>46</v>
      </c>
      <c r="R13" s="67" t="s">
        <v>141</v>
      </c>
    </row>
    <row r="14" spans="12:18" x14ac:dyDescent="0.2">
      <c r="L14" s="66">
        <v>1</v>
      </c>
      <c r="M14" s="68" t="s">
        <v>137</v>
      </c>
      <c r="N14" s="68">
        <v>0.37</v>
      </c>
      <c r="O14" s="69">
        <f>1000*0.06/N14</f>
        <v>162.16216216216216</v>
      </c>
      <c r="P14" s="68">
        <v>6.8000000000000005E-2</v>
      </c>
      <c r="Q14" s="77">
        <f>(2000*0.0006)/P14</f>
        <v>17.647058823529409</v>
      </c>
      <c r="R14" s="70">
        <v>1980</v>
      </c>
    </row>
    <row r="15" spans="12:18" x14ac:dyDescent="0.2">
      <c r="L15" s="66">
        <v>2</v>
      </c>
      <c r="M15" s="68" t="s">
        <v>102</v>
      </c>
      <c r="N15" s="68">
        <v>0.8</v>
      </c>
      <c r="O15" s="69">
        <f t="shared" ref="O15:O19" si="0">1000*0.06/N15</f>
        <v>75</v>
      </c>
      <c r="P15" s="68">
        <v>5.5E-2</v>
      </c>
      <c r="Q15" s="77">
        <f t="shared" ref="Q15:Q19" si="1">(2000*0.0006)/P15</f>
        <v>21.818181818181817</v>
      </c>
      <c r="R15" s="70">
        <v>1980</v>
      </c>
    </row>
    <row r="16" spans="12:18" x14ac:dyDescent="0.2">
      <c r="L16" s="66">
        <v>3</v>
      </c>
      <c r="M16" s="68" t="s">
        <v>103</v>
      </c>
      <c r="N16" s="68">
        <v>0.69</v>
      </c>
      <c r="O16" s="69">
        <f t="shared" si="0"/>
        <v>86.956521739130437</v>
      </c>
      <c r="P16" s="68">
        <v>7.0000000000000007E-2</v>
      </c>
      <c r="Q16" s="77">
        <f t="shared" si="1"/>
        <v>17.142857142857142</v>
      </c>
      <c r="R16" s="70">
        <v>1980</v>
      </c>
    </row>
    <row r="17" spans="12:18" x14ac:dyDescent="0.2">
      <c r="L17" s="66">
        <v>4</v>
      </c>
      <c r="M17" s="68" t="s">
        <v>104</v>
      </c>
      <c r="N17" s="71">
        <v>0.87</v>
      </c>
      <c r="O17" s="69">
        <f t="shared" si="0"/>
        <v>68.965517241379317</v>
      </c>
      <c r="P17" s="68">
        <v>5.3999999999999999E-2</v>
      </c>
      <c r="Q17" s="77">
        <f t="shared" si="1"/>
        <v>22.222222222222221</v>
      </c>
      <c r="R17" s="70">
        <v>1980</v>
      </c>
    </row>
    <row r="18" spans="12:18" x14ac:dyDescent="0.2">
      <c r="L18" s="66">
        <v>5</v>
      </c>
      <c r="M18" s="68" t="s">
        <v>105</v>
      </c>
      <c r="N18" s="71">
        <v>0.72</v>
      </c>
      <c r="O18" s="69">
        <f t="shared" si="0"/>
        <v>83.333333333333343</v>
      </c>
      <c r="P18" s="68">
        <v>6.7000000000000004E-2</v>
      </c>
      <c r="Q18" s="77">
        <f t="shared" si="1"/>
        <v>17.910447761194028</v>
      </c>
      <c r="R18" s="70">
        <v>1980</v>
      </c>
    </row>
    <row r="19" spans="12:18" x14ac:dyDescent="0.2">
      <c r="L19" s="66">
        <v>6</v>
      </c>
      <c r="M19" s="68" t="s">
        <v>93</v>
      </c>
      <c r="N19" s="71">
        <v>1.22</v>
      </c>
      <c r="O19" s="69">
        <f t="shared" si="0"/>
        <v>49.180327868852459</v>
      </c>
      <c r="P19" s="76">
        <v>6.0999999999999999E-2</v>
      </c>
      <c r="Q19" s="77">
        <f t="shared" si="1"/>
        <v>19.672131147540984</v>
      </c>
      <c r="R19" s="70">
        <v>1980</v>
      </c>
    </row>
  </sheetData>
  <mergeCells count="1">
    <mergeCell ref="Q12:R12"/>
  </mergeCells>
  <pageMargins left="0.7" right="0.7" top="0.75" bottom="0.75" header="0.3" footer="0.3"/>
  <pageSetup scale="56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4700-43F2-4A60-9083-142E0D60CEE8}">
  <sheetPr>
    <pageSetUpPr fitToPage="1"/>
  </sheetPr>
  <dimension ref="A1:O24"/>
  <sheetViews>
    <sheetView showRuler="0" zoomScale="130" zoomScaleNormal="130" workbookViewId="0">
      <selection activeCell="D19" sqref="D19:D24"/>
    </sheetView>
  </sheetViews>
  <sheetFormatPr baseColWidth="10" defaultColWidth="10.6640625" defaultRowHeight="16" x14ac:dyDescent="0.2"/>
  <cols>
    <col min="1" max="1" width="20.83203125" bestFit="1" customWidth="1"/>
    <col min="2" max="2" width="9" bestFit="1" customWidth="1"/>
    <col min="3" max="3" width="9" customWidth="1"/>
    <col min="4" max="4" width="8.6640625" customWidth="1"/>
    <col min="5" max="6" width="6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5" x14ac:dyDescent="0.2">
      <c r="A1" s="23" t="s">
        <v>53</v>
      </c>
      <c r="B1" s="24"/>
      <c r="C1" s="56"/>
      <c r="D1" s="106"/>
      <c r="E1" s="106"/>
      <c r="F1" s="106"/>
    </row>
    <row r="2" spans="1:15" ht="51" x14ac:dyDescent="0.2">
      <c r="A2" s="23"/>
      <c r="B2" s="25" t="s">
        <v>54</v>
      </c>
      <c r="C2" s="23">
        <v>1</v>
      </c>
      <c r="D2" s="23">
        <v>2</v>
      </c>
      <c r="E2" s="23">
        <v>3</v>
      </c>
      <c r="F2" s="26">
        <v>4</v>
      </c>
      <c r="G2" s="27" t="s">
        <v>55</v>
      </c>
      <c r="H2" s="27" t="s">
        <v>56</v>
      </c>
      <c r="I2" s="27" t="s">
        <v>57</v>
      </c>
      <c r="J2" s="27" t="s">
        <v>58</v>
      </c>
      <c r="K2" s="27" t="s">
        <v>59</v>
      </c>
      <c r="L2" s="27" t="s">
        <v>58</v>
      </c>
      <c r="M2" s="28" t="s">
        <v>60</v>
      </c>
    </row>
    <row r="3" spans="1:15" x14ac:dyDescent="0.2">
      <c r="A3" s="107" t="s">
        <v>3</v>
      </c>
      <c r="B3" s="11" t="s">
        <v>61</v>
      </c>
      <c r="C3" s="14" t="s">
        <v>62</v>
      </c>
      <c r="D3" s="14" t="s">
        <v>62</v>
      </c>
      <c r="E3" s="14" t="s">
        <v>62</v>
      </c>
      <c r="F3" s="34">
        <v>60</v>
      </c>
      <c r="G3" s="14">
        <v>1E-3</v>
      </c>
      <c r="H3" s="15">
        <f>F3/(G3*0.01)</f>
        <v>5999999.9999999991</v>
      </c>
      <c r="I3" s="9">
        <f>AVERAGE(H3:H4)</f>
        <v>6099999.9999999991</v>
      </c>
      <c r="J3" s="9">
        <f>STDEV(H3:H4)</f>
        <v>141421.35623730952</v>
      </c>
      <c r="K3" s="9">
        <f>I3*0.05</f>
        <v>304999.99999999994</v>
      </c>
      <c r="L3" s="9">
        <f>J3*0.05</f>
        <v>7071.067811865476</v>
      </c>
      <c r="M3" s="13">
        <f>K3/$O$3</f>
        <v>9.6315789473684177</v>
      </c>
      <c r="O3" s="1">
        <v>31666.666666666672</v>
      </c>
    </row>
    <row r="4" spans="1:15" x14ac:dyDescent="0.2">
      <c r="A4" s="107"/>
      <c r="B4" s="11" t="s">
        <v>63</v>
      </c>
      <c r="C4" s="14" t="s">
        <v>62</v>
      </c>
      <c r="D4" s="14" t="s">
        <v>62</v>
      </c>
      <c r="E4" s="14" t="s">
        <v>62</v>
      </c>
      <c r="F4" s="34">
        <v>62</v>
      </c>
      <c r="G4" s="14">
        <v>1E-3</v>
      </c>
      <c r="H4" s="15">
        <f>F4/(G4*0.01)</f>
        <v>6199999.9999999991</v>
      </c>
      <c r="I4" s="9"/>
      <c r="J4" s="9"/>
      <c r="K4" s="9"/>
      <c r="L4" s="9"/>
      <c r="M4" s="13"/>
      <c r="O4" s="1"/>
    </row>
    <row r="5" spans="1:15" x14ac:dyDescent="0.2">
      <c r="A5" s="105" t="s">
        <v>114</v>
      </c>
      <c r="B5" s="57" t="s">
        <v>64</v>
      </c>
      <c r="C5" s="14" t="s">
        <v>62</v>
      </c>
      <c r="D5" s="14" t="s">
        <v>62</v>
      </c>
      <c r="E5" s="14" t="s">
        <v>62</v>
      </c>
      <c r="F5" s="34">
        <v>71</v>
      </c>
      <c r="G5" s="14">
        <v>1E-3</v>
      </c>
      <c r="H5" s="15">
        <f>F5/(G5*0.01)</f>
        <v>7099999.9999999991</v>
      </c>
      <c r="I5" s="9">
        <f>AVERAGE(H5:H6)</f>
        <v>7699999.9999999991</v>
      </c>
      <c r="J5" s="9">
        <f>STDEV(H5:H6)</f>
        <v>848528.137423857</v>
      </c>
      <c r="K5" s="9">
        <f>I5*0.05</f>
        <v>385000</v>
      </c>
      <c r="L5" s="9">
        <f>J5*0.05</f>
        <v>42426.406871192856</v>
      </c>
      <c r="M5" s="13">
        <f>K5/$O$3</f>
        <v>12.157894736842103</v>
      </c>
    </row>
    <row r="6" spans="1:15" x14ac:dyDescent="0.2">
      <c r="A6" s="105"/>
      <c r="B6" s="57" t="s">
        <v>65</v>
      </c>
      <c r="C6" s="14" t="s">
        <v>62</v>
      </c>
      <c r="D6" s="14" t="s">
        <v>62</v>
      </c>
      <c r="E6" s="14" t="s">
        <v>62</v>
      </c>
      <c r="F6" s="34">
        <v>83</v>
      </c>
      <c r="G6" s="14">
        <v>1E-3</v>
      </c>
      <c r="H6" s="15">
        <f t="shared" ref="H6:H12" si="0">F6/(G6*0.01)</f>
        <v>8299999.9999999991</v>
      </c>
      <c r="I6" s="22"/>
      <c r="J6" s="22"/>
      <c r="K6" s="9"/>
      <c r="L6" s="9"/>
      <c r="M6" s="13"/>
    </row>
    <row r="7" spans="1:15" ht="16" customHeight="1" x14ac:dyDescent="0.2">
      <c r="A7" s="105" t="s">
        <v>116</v>
      </c>
      <c r="B7" s="57" t="s">
        <v>66</v>
      </c>
      <c r="C7" s="14" t="s">
        <v>62</v>
      </c>
      <c r="D7" s="14" t="s">
        <v>62</v>
      </c>
      <c r="E7" s="14" t="s">
        <v>62</v>
      </c>
      <c r="F7" s="34">
        <v>63</v>
      </c>
      <c r="G7" s="14">
        <v>1E-3</v>
      </c>
      <c r="H7" s="15">
        <f t="shared" si="0"/>
        <v>6299999.9999999991</v>
      </c>
      <c r="I7" s="9">
        <f>AVERAGE(H7:H8)</f>
        <v>5199999.9999999991</v>
      </c>
      <c r="J7" s="9">
        <f>STDEV(H7:H8)</f>
        <v>1555634.9186104045</v>
      </c>
      <c r="K7" s="9">
        <f>I7*0.05</f>
        <v>259999.99999999997</v>
      </c>
      <c r="L7" s="9">
        <f>J7*0.05</f>
        <v>77781.745930520221</v>
      </c>
      <c r="M7" s="13">
        <f>K7/$O$3</f>
        <v>8.2105263157894708</v>
      </c>
    </row>
    <row r="8" spans="1:15" x14ac:dyDescent="0.2">
      <c r="A8" s="105"/>
      <c r="B8" s="57" t="s">
        <v>67</v>
      </c>
      <c r="C8" s="14" t="s">
        <v>62</v>
      </c>
      <c r="D8" s="14" t="s">
        <v>62</v>
      </c>
      <c r="E8" s="14" t="s">
        <v>62</v>
      </c>
      <c r="F8" s="34">
        <v>41</v>
      </c>
      <c r="G8" s="14">
        <v>1E-3</v>
      </c>
      <c r="H8" s="15">
        <f t="shared" si="0"/>
        <v>4099999.9999999995</v>
      </c>
      <c r="I8" s="22"/>
      <c r="J8" s="22"/>
      <c r="K8" s="9"/>
      <c r="L8" s="9"/>
      <c r="M8" s="13"/>
    </row>
    <row r="9" spans="1:15" ht="16" customHeight="1" x14ac:dyDescent="0.2">
      <c r="A9" s="105" t="s">
        <v>115</v>
      </c>
      <c r="B9" s="57" t="s">
        <v>95</v>
      </c>
      <c r="C9" s="14" t="s">
        <v>62</v>
      </c>
      <c r="D9" s="14" t="s">
        <v>62</v>
      </c>
      <c r="E9" s="14" t="s">
        <v>62</v>
      </c>
      <c r="F9" s="34">
        <v>62</v>
      </c>
      <c r="G9" s="14">
        <v>1E-3</v>
      </c>
      <c r="H9" s="15">
        <f t="shared" si="0"/>
        <v>6199999.9999999991</v>
      </c>
      <c r="I9" s="9">
        <f>AVERAGE(H9:H10)</f>
        <v>5900000</v>
      </c>
      <c r="J9" s="9">
        <f>STDEV(H9:H10)</f>
        <v>424264.06871192786</v>
      </c>
      <c r="K9" s="9">
        <f>I9*0.05</f>
        <v>295000</v>
      </c>
      <c r="L9" s="9">
        <f>J9*0.05</f>
        <v>21213.203435596395</v>
      </c>
      <c r="M9" s="13">
        <f>K9/$O$3</f>
        <v>9.3157894736842088</v>
      </c>
    </row>
    <row r="10" spans="1:15" x14ac:dyDescent="0.2">
      <c r="A10" s="105"/>
      <c r="B10" s="57" t="s">
        <v>96</v>
      </c>
      <c r="C10" s="14" t="s">
        <v>62</v>
      </c>
      <c r="D10" s="14" t="s">
        <v>62</v>
      </c>
      <c r="E10" s="14" t="s">
        <v>62</v>
      </c>
      <c r="F10" s="34">
        <v>56</v>
      </c>
      <c r="G10" s="14">
        <v>1E-3</v>
      </c>
      <c r="H10" s="15">
        <f t="shared" si="0"/>
        <v>5600000</v>
      </c>
      <c r="I10" s="22"/>
      <c r="J10" s="22"/>
      <c r="K10" s="9"/>
      <c r="L10" s="9"/>
      <c r="M10" s="13"/>
    </row>
    <row r="11" spans="1:15" ht="16" customHeight="1" x14ac:dyDescent="0.2">
      <c r="A11" s="105" t="s">
        <v>115</v>
      </c>
      <c r="B11" s="57" t="s">
        <v>118</v>
      </c>
      <c r="C11" s="14" t="s">
        <v>62</v>
      </c>
      <c r="D11" s="14" t="s">
        <v>62</v>
      </c>
      <c r="E11" s="14" t="s">
        <v>62</v>
      </c>
      <c r="F11" s="34">
        <v>51</v>
      </c>
      <c r="G11" s="14">
        <v>1E-3</v>
      </c>
      <c r="H11" s="15">
        <f t="shared" si="0"/>
        <v>5100000</v>
      </c>
      <c r="I11" s="9">
        <f>AVERAGE(H11:H12)</f>
        <v>4950000</v>
      </c>
      <c r="J11" s="9">
        <f>STDEV(H11:H12)</f>
        <v>212132.03435596425</v>
      </c>
      <c r="K11" s="9">
        <f>I11*0.05</f>
        <v>247500</v>
      </c>
      <c r="L11" s="9">
        <f>J11*0.05</f>
        <v>10606.601717798214</v>
      </c>
      <c r="M11" s="13">
        <f>K11/$O$3</f>
        <v>7.8157894736842097</v>
      </c>
    </row>
    <row r="12" spans="1:15" x14ac:dyDescent="0.2">
      <c r="A12" s="105"/>
      <c r="B12" s="57" t="s">
        <v>119</v>
      </c>
      <c r="C12" s="14" t="s">
        <v>62</v>
      </c>
      <c r="D12" s="14" t="s">
        <v>62</v>
      </c>
      <c r="E12" s="14" t="s">
        <v>62</v>
      </c>
      <c r="F12" s="79">
        <v>48</v>
      </c>
      <c r="G12" s="14">
        <v>1E-3</v>
      </c>
      <c r="H12" s="15">
        <f t="shared" si="0"/>
        <v>4800000</v>
      </c>
      <c r="I12" s="22"/>
      <c r="J12" s="22"/>
      <c r="K12" s="9"/>
      <c r="L12" s="9"/>
      <c r="M12" s="13"/>
    </row>
    <row r="13" spans="1:15" ht="16" customHeight="1" x14ac:dyDescent="0.2">
      <c r="A13" s="105" t="s">
        <v>117</v>
      </c>
      <c r="B13" s="57" t="s">
        <v>120</v>
      </c>
      <c r="C13" s="14" t="s">
        <v>62</v>
      </c>
      <c r="D13" s="14" t="s">
        <v>62</v>
      </c>
      <c r="E13" s="14" t="s">
        <v>62</v>
      </c>
      <c r="F13" s="79">
        <v>35</v>
      </c>
      <c r="G13" s="14">
        <v>1E-3</v>
      </c>
      <c r="H13" s="15">
        <f>F13/(G13*0.01)</f>
        <v>3499999.9999999995</v>
      </c>
      <c r="I13" s="9">
        <f>AVERAGE(H13:H14)</f>
        <v>3249999.9999999995</v>
      </c>
      <c r="J13" s="9">
        <f>STDEV(H13:H14)</f>
        <v>353553.39059327374</v>
      </c>
      <c r="K13" s="9">
        <f>I13*0.05</f>
        <v>162500</v>
      </c>
      <c r="L13" s="9">
        <f>J13*0.05</f>
        <v>17677.669529663686</v>
      </c>
      <c r="M13" s="13">
        <f>K13/$O$3</f>
        <v>5.1315789473684204</v>
      </c>
    </row>
    <row r="14" spans="1:15" x14ac:dyDescent="0.2">
      <c r="A14" s="105"/>
      <c r="B14" s="57" t="s">
        <v>121</v>
      </c>
      <c r="C14" s="14" t="s">
        <v>62</v>
      </c>
      <c r="D14" s="14" t="s">
        <v>62</v>
      </c>
      <c r="E14" s="14" t="s">
        <v>62</v>
      </c>
      <c r="F14" s="79">
        <v>30</v>
      </c>
      <c r="G14" s="14">
        <v>1E-3</v>
      </c>
      <c r="H14" s="15">
        <f>F14/(G14*0.01)</f>
        <v>2999999.9999999995</v>
      </c>
      <c r="I14" s="22"/>
      <c r="J14" s="22"/>
      <c r="K14" s="9"/>
      <c r="L14" s="9"/>
      <c r="M14" s="13"/>
    </row>
    <row r="15" spans="1:15" x14ac:dyDescent="0.2">
      <c r="A15" s="2" t="s">
        <v>68</v>
      </c>
      <c r="B15" s="2"/>
      <c r="C15" s="2">
        <v>1</v>
      </c>
      <c r="D15" s="2">
        <v>0.1</v>
      </c>
      <c r="E15" s="2">
        <f>D15/10</f>
        <v>0.01</v>
      </c>
      <c r="F15" s="2">
        <f>E15/10</f>
        <v>1E-3</v>
      </c>
      <c r="G15" s="14"/>
    </row>
    <row r="18" spans="1:4" x14ac:dyDescent="0.2">
      <c r="A18" s="2" t="s">
        <v>44</v>
      </c>
      <c r="B18" s="2" t="s">
        <v>59</v>
      </c>
      <c r="C18" s="2" t="s">
        <v>58</v>
      </c>
      <c r="D18" s="81" t="s">
        <v>29</v>
      </c>
    </row>
    <row r="19" spans="1:4" x14ac:dyDescent="0.2">
      <c r="A19" s="2" t="s">
        <v>3</v>
      </c>
      <c r="B19" s="9">
        <f>K3</f>
        <v>304999.99999999994</v>
      </c>
      <c r="C19" s="9">
        <f>L3</f>
        <v>7071.067811865476</v>
      </c>
      <c r="D19" s="13">
        <f>M3</f>
        <v>9.6315789473684177</v>
      </c>
    </row>
    <row r="20" spans="1:4" ht="16" customHeight="1" x14ac:dyDescent="0.2">
      <c r="A20" s="2" t="s">
        <v>122</v>
      </c>
      <c r="B20" s="9">
        <f>K5</f>
        <v>385000</v>
      </c>
      <c r="C20" s="9">
        <f>L5</f>
        <v>42426.406871192856</v>
      </c>
      <c r="D20" s="13">
        <f>M5</f>
        <v>12.157894736842103</v>
      </c>
    </row>
    <row r="21" spans="1:4" x14ac:dyDescent="0.2">
      <c r="A21" s="2" t="s">
        <v>123</v>
      </c>
      <c r="B21" s="9">
        <f>K7</f>
        <v>259999.99999999997</v>
      </c>
      <c r="C21" s="9">
        <f>L7</f>
        <v>77781.745930520221</v>
      </c>
      <c r="D21" s="13">
        <f>M7</f>
        <v>8.2105263157894708</v>
      </c>
    </row>
    <row r="22" spans="1:4" x14ac:dyDescent="0.2">
      <c r="A22" s="2" t="s">
        <v>124</v>
      </c>
      <c r="B22" s="9">
        <f>K9</f>
        <v>295000</v>
      </c>
      <c r="C22" s="9">
        <f>L9</f>
        <v>21213.203435596395</v>
      </c>
      <c r="D22" s="13">
        <f>M9</f>
        <v>9.3157894736842088</v>
      </c>
    </row>
    <row r="23" spans="1:4" x14ac:dyDescent="0.2">
      <c r="A23" s="2" t="s">
        <v>125</v>
      </c>
      <c r="B23" s="9">
        <f>K11</f>
        <v>247500</v>
      </c>
      <c r="C23" s="9">
        <f>L11</f>
        <v>10606.601717798214</v>
      </c>
      <c r="D23" s="13">
        <f>M11</f>
        <v>7.8157894736842097</v>
      </c>
    </row>
    <row r="24" spans="1:4" x14ac:dyDescent="0.2">
      <c r="A24" s="2" t="s">
        <v>126</v>
      </c>
      <c r="B24" s="9">
        <f>K13</f>
        <v>162500</v>
      </c>
      <c r="C24" s="9">
        <f>L13</f>
        <v>17677.669529663686</v>
      </c>
      <c r="D24" s="13">
        <f>M13</f>
        <v>5.1315789473684204</v>
      </c>
    </row>
  </sheetData>
  <mergeCells count="7">
    <mergeCell ref="A11:A12"/>
    <mergeCell ref="A13:A14"/>
    <mergeCell ref="D1:F1"/>
    <mergeCell ref="A3:A4"/>
    <mergeCell ref="A9:A10"/>
    <mergeCell ref="A5:A6"/>
    <mergeCell ref="A7:A8"/>
  </mergeCells>
  <pageMargins left="0.75" right="0.75" top="1" bottom="1" header="0.5" footer="0.5"/>
  <pageSetup scale="60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FC96-511D-4F07-A849-4459F95A19A4}">
  <sheetPr>
    <pageSetUpPr fitToPage="1"/>
  </sheetPr>
  <dimension ref="A1:Z37"/>
  <sheetViews>
    <sheetView showRuler="0" zoomScale="110" zoomScaleNormal="110" workbookViewId="0">
      <selection activeCell="P6" sqref="P6"/>
    </sheetView>
  </sheetViews>
  <sheetFormatPr baseColWidth="10" defaultColWidth="10.6640625" defaultRowHeight="16" x14ac:dyDescent="0.2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8.33203125" bestFit="1" customWidth="1"/>
    <col min="7" max="7" width="8.83203125" bestFit="1" customWidth="1"/>
    <col min="8" max="8" width="8.1640625" customWidth="1"/>
    <col min="10" max="10" width="2.1640625" bestFit="1" customWidth="1"/>
    <col min="11" max="11" width="20.83203125" customWidth="1"/>
    <col min="12" max="13" width="8.83203125" bestFit="1" customWidth="1"/>
    <col min="14" max="14" width="7.6640625" bestFit="1" customWidth="1"/>
    <col min="15" max="15" width="7.5" bestFit="1" customWidth="1"/>
    <col min="16" max="16" width="7.33203125" bestFit="1" customWidth="1"/>
  </cols>
  <sheetData>
    <row r="1" spans="1:26" x14ac:dyDescent="0.2">
      <c r="A1" s="4"/>
      <c r="B1" s="4"/>
      <c r="E1" s="4"/>
      <c r="F1" s="4"/>
      <c r="G1" s="24"/>
      <c r="H1" s="24"/>
      <c r="I1" s="24"/>
      <c r="J1" s="44"/>
      <c r="K1" s="30"/>
      <c r="L1" s="30"/>
      <c r="M1" s="31"/>
      <c r="N1" s="31"/>
    </row>
    <row r="2" spans="1:26" ht="51" x14ac:dyDescent="0.2">
      <c r="A2" s="23"/>
      <c r="B2" s="32" t="s">
        <v>69</v>
      </c>
      <c r="C2" s="32" t="s">
        <v>70</v>
      </c>
      <c r="D2" s="32" t="s">
        <v>71</v>
      </c>
      <c r="E2" s="28" t="s">
        <v>55</v>
      </c>
      <c r="F2" s="28" t="s">
        <v>72</v>
      </c>
      <c r="G2" s="28" t="s">
        <v>73</v>
      </c>
      <c r="H2" s="28" t="s">
        <v>74</v>
      </c>
      <c r="J2" s="29" t="s">
        <v>92</v>
      </c>
      <c r="K2" s="2"/>
      <c r="L2" s="27" t="s">
        <v>75</v>
      </c>
      <c r="M2" s="23" t="s">
        <v>76</v>
      </c>
      <c r="N2" s="93" t="s">
        <v>77</v>
      </c>
      <c r="O2" s="32" t="s">
        <v>74</v>
      </c>
      <c r="P2" s="28" t="s">
        <v>78</v>
      </c>
    </row>
    <row r="3" spans="1:26" x14ac:dyDescent="0.2">
      <c r="A3" s="110" t="s">
        <v>3</v>
      </c>
      <c r="B3" s="78" t="s">
        <v>61</v>
      </c>
      <c r="C3" s="79">
        <v>67</v>
      </c>
      <c r="D3" s="79">
        <v>86</v>
      </c>
      <c r="E3" s="59">
        <v>1</v>
      </c>
      <c r="F3" s="80">
        <f t="shared" ref="F3:F18" si="0">AVERAGE(C3,D3)</f>
        <v>76.5</v>
      </c>
      <c r="G3" s="60">
        <f>(F3/(0.05*E3))*0.2</f>
        <v>306</v>
      </c>
      <c r="H3" s="109"/>
      <c r="I3" s="1"/>
      <c r="J3" s="82">
        <v>1</v>
      </c>
      <c r="K3" s="81" t="s">
        <v>3</v>
      </c>
      <c r="L3" s="60">
        <f>AVERAGE(G3:G5)</f>
        <v>223.33333333333334</v>
      </c>
      <c r="M3" s="60">
        <f>STDEV(G3:G5)</f>
        <v>124.61674579820053</v>
      </c>
      <c r="N3" s="13">
        <v>9.6315789473684177</v>
      </c>
      <c r="O3" s="83"/>
      <c r="P3" s="84"/>
      <c r="Q3" s="38"/>
      <c r="S3" s="1"/>
      <c r="U3" s="1"/>
      <c r="V3" s="1"/>
      <c r="W3" s="1"/>
      <c r="X3" s="1"/>
      <c r="Y3" s="1"/>
      <c r="Z3" s="1"/>
    </row>
    <row r="4" spans="1:26" x14ac:dyDescent="0.2">
      <c r="A4" s="110"/>
      <c r="B4" s="78" t="s">
        <v>63</v>
      </c>
      <c r="C4" s="79">
        <v>73</v>
      </c>
      <c r="D4" s="79">
        <v>69</v>
      </c>
      <c r="E4" s="59">
        <v>1</v>
      </c>
      <c r="F4" s="80">
        <f t="shared" si="0"/>
        <v>71</v>
      </c>
      <c r="G4" s="60">
        <f t="shared" ref="G4:G17" si="1">(F4/(0.05*E4))*0.2</f>
        <v>284</v>
      </c>
      <c r="H4" s="109"/>
      <c r="J4" s="85">
        <v>2</v>
      </c>
      <c r="K4" s="81" t="s">
        <v>122</v>
      </c>
      <c r="L4" s="60">
        <f>AVERAGE(G6:G8)</f>
        <v>100</v>
      </c>
      <c r="M4" s="60">
        <f>STDEV(G6:G8)</f>
        <v>72</v>
      </c>
      <c r="N4" s="13">
        <v>12.157894736842103</v>
      </c>
      <c r="O4" s="83">
        <f>H6</f>
        <v>0.21189975398195493</v>
      </c>
      <c r="P4" s="84"/>
      <c r="Q4" s="38"/>
    </row>
    <row r="5" spans="1:26" x14ac:dyDescent="0.2">
      <c r="A5" s="110"/>
      <c r="B5" s="78" t="s">
        <v>79</v>
      </c>
      <c r="C5" s="79">
        <v>29</v>
      </c>
      <c r="D5" s="79">
        <v>11</v>
      </c>
      <c r="E5" s="59">
        <v>1</v>
      </c>
      <c r="F5" s="80">
        <f t="shared" si="0"/>
        <v>20</v>
      </c>
      <c r="G5" s="60">
        <f t="shared" si="1"/>
        <v>80</v>
      </c>
      <c r="H5" s="109"/>
      <c r="J5" s="85">
        <v>3</v>
      </c>
      <c r="K5" s="81" t="s">
        <v>123</v>
      </c>
      <c r="L5" s="60">
        <f>AVERAGE(G9:G11)</f>
        <v>152</v>
      </c>
      <c r="M5" s="60">
        <f>STDEV(G9:G11)</f>
        <v>57.86190456595773</v>
      </c>
      <c r="N5" s="13">
        <v>8.2105263157894708</v>
      </c>
      <c r="O5" s="83">
        <f>H9</f>
        <v>0.41935805360425404</v>
      </c>
      <c r="P5" s="84">
        <f>IF(L5/$L$4&gt;=1,L5/$L$4,-$L$4/L5)</f>
        <v>1.52</v>
      </c>
      <c r="Q5" s="38"/>
    </row>
    <row r="6" spans="1:26" ht="15" customHeight="1" x14ac:dyDescent="0.2">
      <c r="A6" s="105" t="s">
        <v>129</v>
      </c>
      <c r="B6" s="11" t="s">
        <v>64</v>
      </c>
      <c r="C6" s="34">
        <v>43</v>
      </c>
      <c r="D6" s="34">
        <v>43</v>
      </c>
      <c r="E6" s="14">
        <v>1</v>
      </c>
      <c r="F6" s="2">
        <f t="shared" si="0"/>
        <v>43</v>
      </c>
      <c r="G6" s="9">
        <f t="shared" si="1"/>
        <v>172</v>
      </c>
      <c r="H6" s="111">
        <f>TTEST(G6:G8,G$3:G$5,2,2)</f>
        <v>0.21189975398195493</v>
      </c>
      <c r="J6" s="85">
        <v>4</v>
      </c>
      <c r="K6" s="81" t="s">
        <v>124</v>
      </c>
      <c r="L6" s="60">
        <f>AVERAGE(G12:G14)</f>
        <v>243.33333333333334</v>
      </c>
      <c r="M6" s="60">
        <f>STDEV(G12:G14)</f>
        <v>29.005746557076122</v>
      </c>
      <c r="N6" s="13">
        <v>9.3157894736842088</v>
      </c>
      <c r="O6" s="83">
        <f>H12</f>
        <v>0.7999850693597349</v>
      </c>
      <c r="P6" s="84">
        <f>IF(L6/$L$4&gt;=1,L6/$L$4,-$L$4/L6)</f>
        <v>2.4333333333333336</v>
      </c>
      <c r="Q6" s="38"/>
    </row>
    <row r="7" spans="1:26" ht="15" customHeight="1" x14ac:dyDescent="0.2">
      <c r="A7" s="105"/>
      <c r="B7" s="11" t="s">
        <v>65</v>
      </c>
      <c r="C7" s="34">
        <v>25</v>
      </c>
      <c r="D7" s="34">
        <v>25</v>
      </c>
      <c r="E7" s="14">
        <v>1</v>
      </c>
      <c r="F7" s="2">
        <f t="shared" si="0"/>
        <v>25</v>
      </c>
      <c r="G7" s="9">
        <f t="shared" si="1"/>
        <v>100</v>
      </c>
      <c r="H7" s="111"/>
      <c r="J7" s="85">
        <v>5</v>
      </c>
      <c r="K7" s="81" t="s">
        <v>125</v>
      </c>
      <c r="L7" s="60">
        <f>AVERAGE(G15:G17)</f>
        <v>354.66666666666669</v>
      </c>
      <c r="M7" s="60">
        <f>STDEV(G15:G17)</f>
        <v>103.96794377755744</v>
      </c>
      <c r="N7" s="13">
        <v>7.8157894736842097</v>
      </c>
      <c r="O7" s="83">
        <f>H15</f>
        <v>0.23364520812063844</v>
      </c>
      <c r="P7" s="84">
        <f>IF(L7/$L$4&gt;=1,L7/$L$4,-$L$4/L7)</f>
        <v>3.5466666666666669</v>
      </c>
      <c r="Q7" s="38"/>
    </row>
    <row r="8" spans="1:26" x14ac:dyDescent="0.2">
      <c r="A8" s="105"/>
      <c r="B8" s="11" t="s">
        <v>80</v>
      </c>
      <c r="C8" s="34">
        <v>5</v>
      </c>
      <c r="D8" s="34">
        <v>9</v>
      </c>
      <c r="E8" s="14">
        <v>1</v>
      </c>
      <c r="F8" s="2">
        <f t="shared" si="0"/>
        <v>7</v>
      </c>
      <c r="G8" s="9">
        <f t="shared" si="1"/>
        <v>28</v>
      </c>
      <c r="H8" s="111"/>
      <c r="J8" s="85">
        <v>6</v>
      </c>
      <c r="K8" s="81" t="s">
        <v>126</v>
      </c>
      <c r="L8" s="60">
        <f>AVERAGE(G18:G20)</f>
        <v>163.33333333333334</v>
      </c>
      <c r="M8" s="60">
        <f>STDEV(G18:G20)</f>
        <v>123.81168496282302</v>
      </c>
      <c r="N8" s="13">
        <v>5.1315789473684204</v>
      </c>
      <c r="O8" s="83">
        <f>H18</f>
        <v>0.5859387916358485</v>
      </c>
      <c r="P8" s="84"/>
      <c r="Q8" s="38"/>
    </row>
    <row r="9" spans="1:26" ht="15" customHeight="1" x14ac:dyDescent="0.2">
      <c r="A9" s="105" t="s">
        <v>128</v>
      </c>
      <c r="B9" s="11" t="s">
        <v>66</v>
      </c>
      <c r="C9" s="34">
        <v>56</v>
      </c>
      <c r="D9" s="34">
        <v>41</v>
      </c>
      <c r="E9" s="14">
        <v>1</v>
      </c>
      <c r="F9" s="2">
        <f t="shared" ref="F9:F14" si="2">AVERAGE(C9,D9)</f>
        <v>48.5</v>
      </c>
      <c r="G9" s="9">
        <f t="shared" ref="G9:G14" si="3">(F9/(0.05*E9))*0.2</f>
        <v>194</v>
      </c>
      <c r="H9" s="111">
        <f>TTEST(G9:G11,G$3:G$5,2,2)</f>
        <v>0.41935805360425404</v>
      </c>
      <c r="K9" s="39"/>
      <c r="L9" s="37"/>
      <c r="M9" s="37"/>
      <c r="N9" s="40"/>
      <c r="O9" s="42"/>
      <c r="P9" s="41"/>
      <c r="Q9" s="38"/>
    </row>
    <row r="10" spans="1:26" x14ac:dyDescent="0.2">
      <c r="A10" s="105"/>
      <c r="B10" s="11" t="s">
        <v>67</v>
      </c>
      <c r="C10" s="34">
        <v>34</v>
      </c>
      <c r="D10" s="34">
        <v>54</v>
      </c>
      <c r="E10" s="14">
        <v>1</v>
      </c>
      <c r="F10" s="2">
        <f t="shared" si="2"/>
        <v>44</v>
      </c>
      <c r="G10" s="9">
        <f t="shared" si="3"/>
        <v>176</v>
      </c>
      <c r="H10" s="111"/>
      <c r="K10" s="39"/>
      <c r="L10" s="37"/>
      <c r="M10" s="37"/>
      <c r="N10" s="40"/>
      <c r="O10" s="42"/>
      <c r="P10" s="41"/>
      <c r="Q10" s="38"/>
    </row>
    <row r="11" spans="1:26" ht="15" customHeight="1" x14ac:dyDescent="0.2">
      <c r="A11" s="105"/>
      <c r="B11" s="11" t="s">
        <v>81</v>
      </c>
      <c r="C11" s="34">
        <v>24</v>
      </c>
      <c r="D11" s="34">
        <v>19</v>
      </c>
      <c r="E11" s="14">
        <v>1</v>
      </c>
      <c r="F11" s="2">
        <f t="shared" si="2"/>
        <v>21.5</v>
      </c>
      <c r="G11" s="9">
        <f t="shared" si="3"/>
        <v>86</v>
      </c>
      <c r="H11" s="111"/>
      <c r="Q11" s="38"/>
    </row>
    <row r="12" spans="1:26" ht="15" customHeight="1" x14ac:dyDescent="0.2">
      <c r="A12" s="105" t="s">
        <v>127</v>
      </c>
      <c r="B12" s="11" t="s">
        <v>95</v>
      </c>
      <c r="C12" s="34">
        <v>70</v>
      </c>
      <c r="D12" s="34">
        <v>66</v>
      </c>
      <c r="E12" s="14">
        <v>1</v>
      </c>
      <c r="F12" s="2">
        <f t="shared" si="2"/>
        <v>68</v>
      </c>
      <c r="G12" s="9">
        <f t="shared" si="3"/>
        <v>272</v>
      </c>
      <c r="H12" s="111">
        <f>TTEST(G12:G14,G$3:G$5,2,2)</f>
        <v>0.7999850693597349</v>
      </c>
      <c r="K12" s="39"/>
      <c r="L12" s="37"/>
      <c r="M12" s="37"/>
      <c r="N12" s="40"/>
      <c r="O12" s="42"/>
      <c r="P12" s="41"/>
      <c r="Q12" s="38"/>
    </row>
    <row r="13" spans="1:26" x14ac:dyDescent="0.2">
      <c r="A13" s="105"/>
      <c r="B13" s="11" t="s">
        <v>96</v>
      </c>
      <c r="C13" s="34">
        <v>63</v>
      </c>
      <c r="D13" s="34">
        <v>59</v>
      </c>
      <c r="E13" s="14">
        <v>1</v>
      </c>
      <c r="F13" s="2">
        <f t="shared" si="2"/>
        <v>61</v>
      </c>
      <c r="G13" s="9">
        <f t="shared" si="3"/>
        <v>244</v>
      </c>
      <c r="H13" s="111"/>
      <c r="K13" s="39"/>
      <c r="L13" s="37"/>
      <c r="M13" s="37"/>
      <c r="N13" s="40"/>
      <c r="O13" s="42"/>
      <c r="P13" s="41"/>
      <c r="Q13" s="38"/>
    </row>
    <row r="14" spans="1:26" ht="15" customHeight="1" x14ac:dyDescent="0.2">
      <c r="A14" s="105"/>
      <c r="B14" s="11" t="s">
        <v>97</v>
      </c>
      <c r="C14" s="34">
        <v>63</v>
      </c>
      <c r="D14" s="34">
        <v>44</v>
      </c>
      <c r="E14" s="14">
        <v>1</v>
      </c>
      <c r="F14" s="2">
        <f t="shared" si="2"/>
        <v>53.5</v>
      </c>
      <c r="G14" s="9">
        <f t="shared" si="3"/>
        <v>214</v>
      </c>
      <c r="H14" s="111"/>
      <c r="Q14" s="38"/>
    </row>
    <row r="15" spans="1:26" ht="15" customHeight="1" x14ac:dyDescent="0.2">
      <c r="A15" s="105" t="s">
        <v>130</v>
      </c>
      <c r="B15" s="11" t="s">
        <v>118</v>
      </c>
      <c r="C15" s="34">
        <f>38*2</f>
        <v>76</v>
      </c>
      <c r="D15" s="34">
        <v>83</v>
      </c>
      <c r="E15" s="14">
        <v>1</v>
      </c>
      <c r="F15" s="2">
        <f t="shared" si="0"/>
        <v>79.5</v>
      </c>
      <c r="G15" s="9">
        <f t="shared" si="1"/>
        <v>318</v>
      </c>
      <c r="H15" s="111">
        <f>TTEST(G15:G17,G$3:G$5,2,2)</f>
        <v>0.23364520812063844</v>
      </c>
      <c r="K15" s="39"/>
      <c r="L15" s="37"/>
      <c r="M15" s="37"/>
      <c r="N15" s="40"/>
      <c r="O15" s="42"/>
      <c r="P15" s="41"/>
      <c r="Q15" s="38"/>
    </row>
    <row r="16" spans="1:26" x14ac:dyDescent="0.2">
      <c r="A16" s="105"/>
      <c r="B16" s="11" t="s">
        <v>119</v>
      </c>
      <c r="C16" s="34">
        <v>116</v>
      </c>
      <c r="D16" s="34">
        <v>120</v>
      </c>
      <c r="E16" s="14">
        <v>1</v>
      </c>
      <c r="F16" s="2">
        <f t="shared" si="0"/>
        <v>118</v>
      </c>
      <c r="G16" s="9">
        <f t="shared" si="1"/>
        <v>472</v>
      </c>
      <c r="H16" s="111"/>
      <c r="K16" s="39"/>
      <c r="L16" s="37"/>
      <c r="M16" s="37"/>
      <c r="N16" s="40"/>
      <c r="O16" s="42"/>
      <c r="P16" s="41"/>
      <c r="Q16" s="38"/>
    </row>
    <row r="17" spans="1:26" ht="15" customHeight="1" x14ac:dyDescent="0.2">
      <c r="A17" s="105"/>
      <c r="B17" s="11" t="s">
        <v>142</v>
      </c>
      <c r="C17" s="34">
        <v>59</v>
      </c>
      <c r="D17" s="34">
        <v>78</v>
      </c>
      <c r="E17" s="14">
        <v>1</v>
      </c>
      <c r="F17" s="2">
        <f t="shared" si="0"/>
        <v>68.5</v>
      </c>
      <c r="G17" s="9">
        <f t="shared" si="1"/>
        <v>274</v>
      </c>
      <c r="H17" s="111"/>
      <c r="Q17" s="38"/>
    </row>
    <row r="18" spans="1:26" x14ac:dyDescent="0.2">
      <c r="A18" s="108" t="s">
        <v>131</v>
      </c>
      <c r="B18" s="78" t="s">
        <v>120</v>
      </c>
      <c r="C18" s="79">
        <v>21</v>
      </c>
      <c r="D18" s="79"/>
      <c r="E18" s="59">
        <v>1</v>
      </c>
      <c r="F18" s="2">
        <f t="shared" si="0"/>
        <v>21</v>
      </c>
      <c r="G18" s="60">
        <f t="shared" ref="G18:G20" si="4">(F18/(0.05*E18))*0.2</f>
        <v>84</v>
      </c>
      <c r="H18" s="109">
        <f>TTEST(G18:G20,G$3:G$5,2,2)</f>
        <v>0.5859387916358485</v>
      </c>
      <c r="Q18" s="38"/>
    </row>
    <row r="19" spans="1:26" ht="15" customHeight="1" x14ac:dyDescent="0.2">
      <c r="A19" s="108"/>
      <c r="B19" s="78" t="s">
        <v>121</v>
      </c>
      <c r="C19" s="79">
        <v>85</v>
      </c>
      <c r="D19" s="79">
        <v>68</v>
      </c>
      <c r="E19" s="59">
        <v>1</v>
      </c>
      <c r="F19" s="81">
        <f t="shared" ref="F19:F20" si="5">AVERAGE(C19,D19)</f>
        <v>76.5</v>
      </c>
      <c r="G19" s="60">
        <f t="shared" si="4"/>
        <v>306</v>
      </c>
      <c r="H19" s="109"/>
      <c r="K19" s="39"/>
      <c r="L19" s="37"/>
      <c r="M19" s="37"/>
      <c r="N19" s="40"/>
      <c r="O19" s="42"/>
      <c r="P19" s="41"/>
      <c r="Q19" s="38"/>
    </row>
    <row r="20" spans="1:26" x14ac:dyDescent="0.2">
      <c r="A20" s="108"/>
      <c r="B20" s="78" t="s">
        <v>143</v>
      </c>
      <c r="C20" s="79">
        <v>18</v>
      </c>
      <c r="D20" s="79">
        <v>32</v>
      </c>
      <c r="E20" s="59">
        <v>1</v>
      </c>
      <c r="F20" s="81">
        <f t="shared" si="5"/>
        <v>25</v>
      </c>
      <c r="G20" s="60">
        <f t="shared" si="4"/>
        <v>100</v>
      </c>
      <c r="H20" s="109"/>
      <c r="K20" s="43"/>
      <c r="L20" s="37"/>
      <c r="M20" s="37"/>
      <c r="N20" s="40"/>
      <c r="O20" s="42"/>
      <c r="P20" s="41"/>
      <c r="Q20" s="38"/>
    </row>
    <row r="21" spans="1:26" ht="15" customHeight="1" x14ac:dyDescent="0.2">
      <c r="A21" s="35" t="s">
        <v>82</v>
      </c>
      <c r="H21" s="1"/>
      <c r="K21" s="39"/>
      <c r="L21" s="37"/>
      <c r="M21" s="37"/>
      <c r="N21" s="40"/>
      <c r="O21" s="42"/>
      <c r="P21" s="41"/>
      <c r="Q21" s="38"/>
    </row>
    <row r="22" spans="1:26" x14ac:dyDescent="0.2">
      <c r="K22" s="39"/>
      <c r="L22" s="37"/>
      <c r="M22" s="37"/>
      <c r="N22" s="40"/>
      <c r="O22" s="42"/>
      <c r="P22" s="41"/>
      <c r="Q22" s="38"/>
    </row>
    <row r="23" spans="1:26" ht="15" customHeight="1" x14ac:dyDescent="0.2">
      <c r="Q23" s="38"/>
    </row>
    <row r="24" spans="1:26" ht="16" customHeight="1" x14ac:dyDescent="0.2">
      <c r="Q24" s="38"/>
    </row>
    <row r="25" spans="1:26" ht="15" customHeight="1" x14ac:dyDescent="0.2">
      <c r="J25" s="1"/>
      <c r="K25" s="1"/>
      <c r="Q25" s="38"/>
    </row>
    <row r="27" spans="1:26" ht="16" customHeight="1" x14ac:dyDescent="0.2">
      <c r="I27" s="1"/>
      <c r="Q27" s="40"/>
      <c r="S27" s="1"/>
      <c r="U27" s="1"/>
      <c r="V27" s="1"/>
      <c r="W27" s="1"/>
      <c r="X27" s="1"/>
      <c r="Y27" s="1"/>
      <c r="Z27" s="1"/>
    </row>
    <row r="28" spans="1:26" x14ac:dyDescent="0.2">
      <c r="Q28" s="40"/>
    </row>
    <row r="29" spans="1:26" x14ac:dyDescent="0.2">
      <c r="Q29" s="40"/>
    </row>
    <row r="30" spans="1:26" ht="15" customHeight="1" x14ac:dyDescent="0.2">
      <c r="Q30" s="40"/>
    </row>
    <row r="31" spans="1:26" ht="15" customHeight="1" x14ac:dyDescent="0.2"/>
    <row r="33" ht="15" customHeight="1" x14ac:dyDescent="0.2"/>
    <row r="35" ht="15" customHeight="1" x14ac:dyDescent="0.2"/>
    <row r="37" ht="15" customHeight="1" x14ac:dyDescent="0.2"/>
  </sheetData>
  <mergeCells count="12">
    <mergeCell ref="A18:A20"/>
    <mergeCell ref="H18:H20"/>
    <mergeCell ref="A3:A5"/>
    <mergeCell ref="H3:H5"/>
    <mergeCell ref="A6:A8"/>
    <mergeCell ref="H6:H8"/>
    <mergeCell ref="A15:A17"/>
    <mergeCell ref="H15:H17"/>
    <mergeCell ref="A9:A11"/>
    <mergeCell ref="H9:H11"/>
    <mergeCell ref="A12:A14"/>
    <mergeCell ref="H12:H14"/>
  </mergeCells>
  <pageMargins left="0.75" right="0.75" top="1" bottom="1" header="0.5" footer="0.5"/>
  <pageSetup scale="56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F100-489B-4A0B-A53D-12957D12D2FB}">
  <sheetPr>
    <pageSetUpPr fitToPage="1"/>
  </sheetPr>
  <dimension ref="A2:AQ57"/>
  <sheetViews>
    <sheetView tabSelected="1" showRuler="0" topLeftCell="K1" zoomScale="140" zoomScaleNormal="140" workbookViewId="0">
      <selection activeCell="Z18" sqref="Z18"/>
    </sheetView>
  </sheetViews>
  <sheetFormatPr baseColWidth="10" defaultColWidth="10.6640625" defaultRowHeight="16" x14ac:dyDescent="0.2"/>
  <cols>
    <col min="1" max="1" width="17.5" customWidth="1"/>
    <col min="2" max="2" width="5.5" bestFit="1" customWidth="1"/>
    <col min="3" max="8" width="6.1640625" bestFit="1" customWidth="1"/>
    <col min="9" max="9" width="8.33203125" bestFit="1" customWidth="1"/>
    <col min="10" max="10" width="8" bestFit="1" customWidth="1"/>
    <col min="11" max="11" width="9" bestFit="1" customWidth="1"/>
    <col min="12" max="12" width="2.1640625" customWidth="1"/>
    <col min="13" max="13" width="2.1640625" bestFit="1" customWidth="1"/>
    <col min="14" max="14" width="21.1640625" bestFit="1" customWidth="1"/>
    <col min="15" max="15" width="9" bestFit="1" customWidth="1"/>
    <col min="16" max="16" width="8.6640625" bestFit="1" customWidth="1"/>
    <col min="17" max="17" width="7.33203125" bestFit="1" customWidth="1"/>
    <col min="18" max="18" width="9.33203125" bestFit="1" customWidth="1"/>
    <col min="19" max="20" width="9.33203125" customWidth="1"/>
    <col min="21" max="21" width="10.83203125" bestFit="1" customWidth="1"/>
    <col min="22" max="22" width="12.6640625" customWidth="1"/>
    <col min="23" max="23" width="14.5" bestFit="1" customWidth="1"/>
    <col min="27" max="27" width="20.1640625" bestFit="1" customWidth="1"/>
  </cols>
  <sheetData>
    <row r="2" spans="1:35" x14ac:dyDescent="0.2">
      <c r="A2" s="4" t="s">
        <v>0</v>
      </c>
      <c r="B2" s="4"/>
      <c r="C2" s="113" t="s">
        <v>83</v>
      </c>
      <c r="D2" s="113"/>
      <c r="E2" s="113"/>
      <c r="F2" s="113" t="s">
        <v>84</v>
      </c>
      <c r="G2" s="113"/>
      <c r="H2" s="113"/>
      <c r="L2" s="36"/>
      <c r="N2" s="100" t="s">
        <v>86</v>
      </c>
      <c r="O2" s="100"/>
      <c r="P2" s="100"/>
      <c r="Q2" s="100"/>
      <c r="R2" s="100"/>
      <c r="S2" s="100"/>
      <c r="T2" s="100"/>
      <c r="U2" s="100"/>
      <c r="V2" s="100"/>
      <c r="W2" s="100"/>
      <c r="AA2" s="100" t="s">
        <v>133</v>
      </c>
      <c r="AB2" s="100"/>
      <c r="AC2" s="100"/>
      <c r="AD2" s="100"/>
      <c r="AE2" s="100"/>
      <c r="AF2" s="100"/>
    </row>
    <row r="3" spans="1:35" ht="68" x14ac:dyDescent="0.2">
      <c r="A3" s="23"/>
      <c r="B3" s="23" t="s">
        <v>69</v>
      </c>
      <c r="C3" s="23">
        <v>1</v>
      </c>
      <c r="D3" s="23">
        <v>2</v>
      </c>
      <c r="E3" s="26">
        <v>3</v>
      </c>
      <c r="F3" s="23">
        <v>1</v>
      </c>
      <c r="G3" s="23">
        <v>2</v>
      </c>
      <c r="H3" s="26">
        <v>3</v>
      </c>
      <c r="I3" s="33" t="s">
        <v>55</v>
      </c>
      <c r="J3" s="27" t="s">
        <v>72</v>
      </c>
      <c r="K3" s="27" t="s">
        <v>73</v>
      </c>
      <c r="L3" s="1"/>
      <c r="N3" s="2"/>
      <c r="O3" s="27" t="s">
        <v>75</v>
      </c>
      <c r="P3" s="23" t="s">
        <v>76</v>
      </c>
      <c r="Q3" s="33" t="s">
        <v>77</v>
      </c>
      <c r="R3" s="28" t="s">
        <v>159</v>
      </c>
      <c r="S3" s="28" t="s">
        <v>160</v>
      </c>
      <c r="T3" s="28" t="s">
        <v>161</v>
      </c>
      <c r="U3" s="28" t="s">
        <v>162</v>
      </c>
      <c r="V3" s="28" t="s">
        <v>163</v>
      </c>
      <c r="W3" s="27" t="s">
        <v>165</v>
      </c>
      <c r="Z3" s="72" t="s">
        <v>92</v>
      </c>
      <c r="AA3" s="2"/>
      <c r="AB3" s="27" t="s">
        <v>75</v>
      </c>
      <c r="AC3" s="23" t="s">
        <v>76</v>
      </c>
      <c r="AD3" s="93" t="s">
        <v>77</v>
      </c>
      <c r="AE3" s="32" t="s">
        <v>74</v>
      </c>
      <c r="AF3" s="28" t="s">
        <v>78</v>
      </c>
      <c r="AH3" s="74" t="s">
        <v>135</v>
      </c>
      <c r="AI3" s="74" t="s">
        <v>136</v>
      </c>
    </row>
    <row r="4" spans="1:35" x14ac:dyDescent="0.2">
      <c r="A4" s="110" t="s">
        <v>3</v>
      </c>
      <c r="B4" s="78" t="s">
        <v>61</v>
      </c>
      <c r="C4" s="14" t="s">
        <v>62</v>
      </c>
      <c r="D4" s="14" t="s">
        <v>62</v>
      </c>
      <c r="E4" s="79">
        <v>90</v>
      </c>
      <c r="F4" s="14" t="s">
        <v>62</v>
      </c>
      <c r="G4" s="14" t="s">
        <v>62</v>
      </c>
      <c r="H4" s="79">
        <v>101</v>
      </c>
      <c r="I4" s="59">
        <v>0.01</v>
      </c>
      <c r="J4" s="81">
        <f t="shared" ref="J4:J6" si="0">AVERAGE(E4,H4)</f>
        <v>95.5</v>
      </c>
      <c r="K4" s="60">
        <f>(J4/(0.01*I4))*0.2</f>
        <v>191000</v>
      </c>
      <c r="L4" s="1"/>
      <c r="M4" s="54">
        <v>1</v>
      </c>
      <c r="N4" s="2" t="s">
        <v>3</v>
      </c>
      <c r="O4" s="9">
        <f>AVERAGE(K4:K6)</f>
        <v>141500</v>
      </c>
      <c r="P4" s="9">
        <f>STDEV(K4:K6)</f>
        <v>70003.571337468209</v>
      </c>
      <c r="Q4" s="13">
        <v>6.738035264483627</v>
      </c>
      <c r="R4" s="2"/>
      <c r="S4" s="94">
        <f>TTEST(K$7:K$9,K4:K6,2,2)</f>
        <v>3.4102002332600266E-2</v>
      </c>
      <c r="U4" s="114">
        <f>O4/$O$4</f>
        <v>1</v>
      </c>
      <c r="V4" s="114">
        <f>IF(O4/$O$5&gt;=1,O4/$O$5,-$O$5/O4)</f>
        <v>31.491097922848667</v>
      </c>
      <c r="W4" s="13">
        <f>O4/AB4</f>
        <v>633.58208955223881</v>
      </c>
      <c r="Z4" s="82">
        <v>1</v>
      </c>
      <c r="AA4" s="81" t="s">
        <v>3</v>
      </c>
      <c r="AB4" s="60">
        <v>223.33333333333334</v>
      </c>
      <c r="AC4" s="60">
        <v>124.61674579820053</v>
      </c>
      <c r="AD4" s="13">
        <v>9.6315789473684177</v>
      </c>
      <c r="AE4" s="83"/>
      <c r="AF4" s="84"/>
      <c r="AH4" s="75">
        <f>(22*60)/(3.3*LOG(O4/AB4))</f>
        <v>142.76521776723683</v>
      </c>
    </row>
    <row r="5" spans="1:35" x14ac:dyDescent="0.2">
      <c r="A5" s="110"/>
      <c r="B5" s="78" t="s">
        <v>63</v>
      </c>
      <c r="C5" s="14" t="s">
        <v>62</v>
      </c>
      <c r="D5" s="14" t="s">
        <v>62</v>
      </c>
      <c r="E5" s="79">
        <v>51</v>
      </c>
      <c r="F5" s="14" t="s">
        <v>62</v>
      </c>
      <c r="G5" s="14" t="s">
        <v>62</v>
      </c>
      <c r="H5" s="79">
        <v>41</v>
      </c>
      <c r="I5" s="59">
        <v>0.01</v>
      </c>
      <c r="J5" s="81">
        <f t="shared" si="0"/>
        <v>46</v>
      </c>
      <c r="K5" s="60">
        <f>(J5/(0.01*I5))*0.2</f>
        <v>92000</v>
      </c>
      <c r="L5" s="1"/>
      <c r="M5" s="63">
        <v>2</v>
      </c>
      <c r="N5" s="2" t="s">
        <v>122</v>
      </c>
      <c r="O5" s="9">
        <f>AVERAGE(K7:K9)</f>
        <v>4493.333333333333</v>
      </c>
      <c r="P5" s="9">
        <f>STDEV(K7:K9)</f>
        <v>2811.4290553619403</v>
      </c>
      <c r="Q5" s="13">
        <v>8.3753148614609572</v>
      </c>
      <c r="R5" s="18">
        <f>TTEST(K7:K9,K$4:K$6,2,2)</f>
        <v>3.4102002332600266E-2</v>
      </c>
      <c r="S5" s="94">
        <f>TTEST(K$7:K$9,K7:K9,2,2)</f>
        <v>1</v>
      </c>
      <c r="U5" s="114">
        <f>-$O$4/O5</f>
        <v>-31.491097922848667</v>
      </c>
      <c r="V5" s="114">
        <f>IF(O5/$O$5&gt;=1,O5/$O$5,-$O$5/O5)</f>
        <v>1</v>
      </c>
      <c r="W5" s="13">
        <f t="shared" ref="W4:W9" si="1">O5/AB5</f>
        <v>44.93333333333333</v>
      </c>
      <c r="Z5" s="85">
        <v>2</v>
      </c>
      <c r="AA5" s="81" t="s">
        <v>122</v>
      </c>
      <c r="AB5" s="60">
        <v>100</v>
      </c>
      <c r="AC5" s="60">
        <v>72</v>
      </c>
      <c r="AD5" s="13">
        <v>12.157894736842103</v>
      </c>
      <c r="AE5" s="83">
        <v>0.21189975398195493</v>
      </c>
      <c r="AF5" s="84"/>
      <c r="AH5" s="75">
        <f>(22*60)/(3.3*LOG(O5/AB5))</f>
        <v>242.04743508266444</v>
      </c>
      <c r="AI5" s="75">
        <v>169.1624228</v>
      </c>
    </row>
    <row r="6" spans="1:35" ht="15" customHeight="1" x14ac:dyDescent="0.2">
      <c r="A6" s="110"/>
      <c r="B6" s="78" t="s">
        <v>79</v>
      </c>
      <c r="C6" s="95" t="s">
        <v>62</v>
      </c>
      <c r="D6" s="96">
        <v>117</v>
      </c>
      <c r="E6" s="96">
        <v>8</v>
      </c>
      <c r="F6" s="95" t="s">
        <v>62</v>
      </c>
      <c r="G6" s="96">
        <v>105</v>
      </c>
      <c r="H6" s="96">
        <v>15</v>
      </c>
      <c r="I6" s="95">
        <v>0.1</v>
      </c>
      <c r="J6" s="97">
        <f>AVERAGE(D6,G6)</f>
        <v>111</v>
      </c>
      <c r="K6" s="98" t="s">
        <v>164</v>
      </c>
      <c r="L6" s="1"/>
      <c r="M6" s="63">
        <v>3</v>
      </c>
      <c r="N6" s="2" t="s">
        <v>123</v>
      </c>
      <c r="O6" s="9">
        <f>AVERAGE(K10:K12)</f>
        <v>20533.333333333332</v>
      </c>
      <c r="P6" s="9">
        <f>STDEV(K10:K12)</f>
        <v>9211.5869063551345</v>
      </c>
      <c r="Q6" s="13">
        <v>4.9118387909319896</v>
      </c>
      <c r="R6" s="18">
        <f>TTEST(K10:K12,K$4:K$6,2,2)</f>
        <v>4.8461357196889356E-2</v>
      </c>
      <c r="S6" s="94">
        <f>TTEST(K$9:K$11,K6:K8,2,2)</f>
        <v>0.38636021125195347</v>
      </c>
      <c r="T6">
        <f>TTEST(K13:K15,K$10:K$12,2,2)</f>
        <v>3.5093763564793146E-3</v>
      </c>
      <c r="U6" s="114">
        <f>-$O$4/O6</f>
        <v>-6.8912337662337668</v>
      </c>
      <c r="V6" s="114">
        <f>IF(O6/$O$5&gt;=1,O6/$O$5,-$O$5/O6)</f>
        <v>4.5697329376854601</v>
      </c>
      <c r="W6" s="13">
        <f t="shared" si="1"/>
        <v>135.08771929824562</v>
      </c>
      <c r="Z6" s="85">
        <v>3</v>
      </c>
      <c r="AA6" s="81" t="s">
        <v>123</v>
      </c>
      <c r="AB6" s="60">
        <v>152</v>
      </c>
      <c r="AC6" s="60">
        <v>57.86190456595773</v>
      </c>
      <c r="AD6" s="13">
        <v>8.2105263157894708</v>
      </c>
      <c r="AE6" s="83">
        <v>0.41935805360425404</v>
      </c>
      <c r="AF6" s="84">
        <v>1.52</v>
      </c>
      <c r="AH6" s="75">
        <f t="shared" ref="AH6:AH7" si="2">(22*60)/(3.3*LOG(O6/AB6))</f>
        <v>187.73914421930564</v>
      </c>
      <c r="AI6" s="75">
        <v>147.83021890000001</v>
      </c>
    </row>
    <row r="7" spans="1:35" ht="15" customHeight="1" x14ac:dyDescent="0.2">
      <c r="A7" s="105" t="s">
        <v>129</v>
      </c>
      <c r="B7" s="57" t="s">
        <v>64</v>
      </c>
      <c r="C7" s="14" t="s">
        <v>62</v>
      </c>
      <c r="D7" s="34">
        <v>30</v>
      </c>
      <c r="E7" s="34"/>
      <c r="F7" s="14" t="s">
        <v>62</v>
      </c>
      <c r="G7" s="34">
        <v>35</v>
      </c>
      <c r="H7" s="34"/>
      <c r="I7" s="14">
        <v>0.1</v>
      </c>
      <c r="J7" s="22">
        <f>AVERAGE(D7,G7)</f>
        <v>32.5</v>
      </c>
      <c r="K7" s="9">
        <f t="shared" ref="K6:K18" si="3">(J7/(0.01*I7))*0.2</f>
        <v>6500</v>
      </c>
      <c r="L7" s="1"/>
      <c r="M7" s="63">
        <v>4</v>
      </c>
      <c r="N7" s="2" t="s">
        <v>124</v>
      </c>
      <c r="O7" s="9">
        <f>AVERAGE(K13:K15)</f>
        <v>115000</v>
      </c>
      <c r="P7" s="9">
        <f>STDEV(K13:K15)</f>
        <v>24879.710609249458</v>
      </c>
      <c r="Q7" s="13">
        <v>8.2493702770780857</v>
      </c>
      <c r="R7" s="18">
        <f>TTEST(K13:K15,K$4:K$6,2,2)</f>
        <v>0.56670235040067896</v>
      </c>
      <c r="S7" s="94">
        <f>TTEST(K$13:K$15,K7:K9,2,2)</f>
        <v>1.573143185195668E-3</v>
      </c>
      <c r="U7" s="114">
        <f t="shared" ref="U7" si="4">O7/$O$4</f>
        <v>0.8127208480565371</v>
      </c>
      <c r="V7" s="114">
        <f>IF(O7/$O$5&gt;=1,O7/$O$5,-$O$5/O7)</f>
        <v>25.593471810089021</v>
      </c>
      <c r="W7" s="13">
        <f t="shared" si="1"/>
        <v>472.60273972602738</v>
      </c>
      <c r="Z7" s="85">
        <v>4</v>
      </c>
      <c r="AA7" s="81" t="s">
        <v>124</v>
      </c>
      <c r="AB7" s="60">
        <v>243.33333333333334</v>
      </c>
      <c r="AC7" s="60">
        <v>29.005746557076122</v>
      </c>
      <c r="AD7" s="13">
        <v>9.3157894736842088</v>
      </c>
      <c r="AE7" s="83">
        <v>0.7999850693597349</v>
      </c>
      <c r="AF7" s="84">
        <v>2.4333333333333336</v>
      </c>
      <c r="AH7" s="75">
        <f t="shared" si="2"/>
        <v>149.56087609039264</v>
      </c>
      <c r="AI7" s="75">
        <v>147.09615160000001</v>
      </c>
    </row>
    <row r="8" spans="1:35" ht="15" customHeight="1" x14ac:dyDescent="0.2">
      <c r="A8" s="105"/>
      <c r="B8" s="57" t="s">
        <v>65</v>
      </c>
      <c r="C8" s="14" t="s">
        <v>62</v>
      </c>
      <c r="D8" s="34">
        <v>30</v>
      </c>
      <c r="E8" s="34"/>
      <c r="F8" s="14" t="s">
        <v>62</v>
      </c>
      <c r="G8" s="34">
        <v>27</v>
      </c>
      <c r="H8" s="34"/>
      <c r="I8" s="14">
        <v>0.1</v>
      </c>
      <c r="J8" s="22">
        <f>AVERAGE(D8,G8)</f>
        <v>28.5</v>
      </c>
      <c r="K8" s="9">
        <f t="shared" si="3"/>
        <v>5700</v>
      </c>
      <c r="L8" s="1"/>
      <c r="M8" s="63">
        <v>5</v>
      </c>
      <c r="N8" s="2" t="s">
        <v>125</v>
      </c>
      <c r="O8" s="9">
        <f>AVERAGE(K16:K18)</f>
        <v>10333.333333333334</v>
      </c>
      <c r="P8" s="9">
        <f>STDEV(K16:K18)</f>
        <v>5396.6038703367276</v>
      </c>
      <c r="Q8" s="13">
        <v>5.7934508816120909</v>
      </c>
      <c r="R8" s="18">
        <f>TTEST(K16:K18,K$4:K$6,2,2)</f>
        <v>3.8523727484343989E-2</v>
      </c>
      <c r="S8" s="94">
        <f>TTEST(K$7:K$9,K16:K18,2,2)</f>
        <v>0.17178576625064532</v>
      </c>
      <c r="T8">
        <f>TTEST(K13:K15,K$16:K$18,2,2)</f>
        <v>2.0556372532387554E-3</v>
      </c>
      <c r="U8" s="114">
        <f>-$O$4/O8</f>
        <v>-13.693548387096774</v>
      </c>
      <c r="V8" s="114">
        <f>IF(O8/$O$5&gt;=1,O8/$O$5,-$O$5/O8)</f>
        <v>2.2997032640949557</v>
      </c>
      <c r="W8" s="13">
        <f t="shared" si="1"/>
        <v>29.13533834586466</v>
      </c>
      <c r="Z8" s="85">
        <v>5</v>
      </c>
      <c r="AA8" s="81" t="s">
        <v>125</v>
      </c>
      <c r="AB8" s="60">
        <v>354.66666666666669</v>
      </c>
      <c r="AC8" s="60">
        <v>103.96794377755744</v>
      </c>
      <c r="AD8" s="13">
        <v>7.8157894736842097</v>
      </c>
      <c r="AE8" s="86">
        <v>0.23364520812063844</v>
      </c>
      <c r="AF8" s="84">
        <v>3.5466666666666669</v>
      </c>
      <c r="AH8" s="75">
        <f>(22*60)/(3.3*LOG(O8/AB8))</f>
        <v>273.14566996248516</v>
      </c>
      <c r="AI8" s="75">
        <v>186.53617840000001</v>
      </c>
    </row>
    <row r="9" spans="1:35" ht="16" customHeight="1" x14ac:dyDescent="0.2">
      <c r="A9" s="105"/>
      <c r="B9" s="57" t="s">
        <v>80</v>
      </c>
      <c r="C9" s="34">
        <v>55</v>
      </c>
      <c r="D9" s="34"/>
      <c r="E9" s="34"/>
      <c r="F9" s="34">
        <v>73</v>
      </c>
      <c r="G9" s="34"/>
      <c r="H9" s="34"/>
      <c r="I9" s="14">
        <v>1</v>
      </c>
      <c r="J9" s="22">
        <f>AVERAGE(C9,F9)</f>
        <v>64</v>
      </c>
      <c r="K9" s="9">
        <f t="shared" si="3"/>
        <v>1280</v>
      </c>
      <c r="L9" s="1"/>
      <c r="M9" s="63">
        <v>6</v>
      </c>
      <c r="N9" s="2" t="s">
        <v>126</v>
      </c>
      <c r="O9" s="9">
        <f>AVERAGE(K19:K21)</f>
        <v>5.333333333333333</v>
      </c>
      <c r="P9" s="9">
        <f>STDEV(K19:K21)</f>
        <v>2.3094010767585034</v>
      </c>
      <c r="Q9" s="13">
        <v>4.1561712846347607</v>
      </c>
      <c r="R9" s="18">
        <f>TTEST(K19:K21,K$4:K$6,2,2)</f>
        <v>3.1253668881939388E-2</v>
      </c>
      <c r="S9" s="94">
        <f>TTEST(K$7:K$9,K19:K21,2,2)</f>
        <v>5.0592493333269976E-2</v>
      </c>
      <c r="U9" s="9">
        <f>-$O$4/O9</f>
        <v>-26531.25</v>
      </c>
      <c r="V9" s="9">
        <f>IF(O9/$O$5&gt;=1,O9/$O$5,-$O$5/O9)</f>
        <v>-842.5</v>
      </c>
      <c r="W9" s="13">
        <f t="shared" si="1"/>
        <v>3.2653061224489792E-2</v>
      </c>
      <c r="Z9" s="85">
        <v>6</v>
      </c>
      <c r="AA9" s="81" t="s">
        <v>126</v>
      </c>
      <c r="AB9" s="60">
        <v>163.33333333333334</v>
      </c>
      <c r="AC9" s="60">
        <v>123.81168496282302</v>
      </c>
      <c r="AD9" s="13">
        <v>5.1315789473684204</v>
      </c>
      <c r="AE9" s="86">
        <v>0.5859387916358485</v>
      </c>
      <c r="AF9" s="84"/>
      <c r="AH9" s="75"/>
    </row>
    <row r="10" spans="1:35" x14ac:dyDescent="0.2">
      <c r="A10" s="105" t="s">
        <v>128</v>
      </c>
      <c r="B10" s="57" t="s">
        <v>66</v>
      </c>
      <c r="C10" s="14" t="s">
        <v>62</v>
      </c>
      <c r="D10" s="34">
        <v>96</v>
      </c>
      <c r="E10" s="34"/>
      <c r="F10" s="14" t="s">
        <v>62</v>
      </c>
      <c r="G10" s="34">
        <v>104</v>
      </c>
      <c r="H10" s="34"/>
      <c r="I10" s="59">
        <v>0.1</v>
      </c>
      <c r="J10" s="22">
        <f>AVERAGE(D10,G10)</f>
        <v>100</v>
      </c>
      <c r="K10" s="9">
        <f t="shared" si="3"/>
        <v>20000</v>
      </c>
      <c r="L10" s="1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35" x14ac:dyDescent="0.2">
      <c r="A11" s="105"/>
      <c r="B11" s="57" t="s">
        <v>67</v>
      </c>
      <c r="C11" s="14" t="s">
        <v>62</v>
      </c>
      <c r="D11" s="14" t="s">
        <v>62</v>
      </c>
      <c r="E11" s="34">
        <v>15</v>
      </c>
      <c r="F11" s="14" t="s">
        <v>62</v>
      </c>
      <c r="G11" s="14" t="s">
        <v>62</v>
      </c>
      <c r="H11" s="34">
        <v>15</v>
      </c>
      <c r="I11" s="59">
        <v>0.01</v>
      </c>
      <c r="J11" s="81">
        <f t="shared" ref="J11:J15" si="5">AVERAGE(E11,H11)</f>
        <v>15</v>
      </c>
      <c r="K11" s="9">
        <f t="shared" si="3"/>
        <v>30000</v>
      </c>
      <c r="L11" s="1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spans="1:35" x14ac:dyDescent="0.2">
      <c r="A12" s="105"/>
      <c r="B12" s="57" t="s">
        <v>81</v>
      </c>
      <c r="C12" s="14" t="s">
        <v>62</v>
      </c>
      <c r="D12" s="34">
        <v>48</v>
      </c>
      <c r="E12" s="34"/>
      <c r="F12" s="14" t="s">
        <v>62</v>
      </c>
      <c r="G12" s="34">
        <v>68</v>
      </c>
      <c r="H12" s="34"/>
      <c r="I12" s="59">
        <v>0.1</v>
      </c>
      <c r="J12" s="22">
        <f>AVERAGE(D12,G12)</f>
        <v>58</v>
      </c>
      <c r="K12" s="9">
        <f t="shared" si="3"/>
        <v>11600</v>
      </c>
      <c r="L12" s="1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spans="1:35" x14ac:dyDescent="0.2">
      <c r="A13" s="105" t="s">
        <v>127</v>
      </c>
      <c r="B13" s="57" t="s">
        <v>95</v>
      </c>
      <c r="C13" s="14" t="s">
        <v>62</v>
      </c>
      <c r="D13" s="14" t="s">
        <v>62</v>
      </c>
      <c r="E13" s="34">
        <v>88</v>
      </c>
      <c r="F13" s="14" t="s">
        <v>62</v>
      </c>
      <c r="G13" s="14" t="s">
        <v>62</v>
      </c>
      <c r="H13" s="34">
        <v>49</v>
      </c>
      <c r="I13" s="14">
        <v>0.01</v>
      </c>
      <c r="J13" s="2">
        <f t="shared" si="5"/>
        <v>68.5</v>
      </c>
      <c r="K13" s="9">
        <f t="shared" si="3"/>
        <v>137000</v>
      </c>
      <c r="L13" s="1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spans="1:35" x14ac:dyDescent="0.2">
      <c r="A14" s="105"/>
      <c r="B14" s="57" t="s">
        <v>96</v>
      </c>
      <c r="C14" s="14" t="s">
        <v>62</v>
      </c>
      <c r="D14" s="14" t="s">
        <v>62</v>
      </c>
      <c r="E14" s="34">
        <v>44</v>
      </c>
      <c r="F14" s="14" t="s">
        <v>62</v>
      </c>
      <c r="G14" s="14" t="s">
        <v>62</v>
      </c>
      <c r="H14" s="34">
        <v>44</v>
      </c>
      <c r="I14" s="14">
        <v>0.01</v>
      </c>
      <c r="J14" s="2">
        <f t="shared" si="5"/>
        <v>44</v>
      </c>
      <c r="K14" s="9">
        <f t="shared" si="3"/>
        <v>88000</v>
      </c>
      <c r="L14" s="1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spans="1:35" ht="15" customHeight="1" x14ac:dyDescent="0.2">
      <c r="A15" s="105"/>
      <c r="B15" s="57" t="s">
        <v>97</v>
      </c>
      <c r="C15" s="14" t="s">
        <v>62</v>
      </c>
      <c r="D15" s="14" t="s">
        <v>62</v>
      </c>
      <c r="E15" s="34">
        <v>65</v>
      </c>
      <c r="F15" s="14" t="s">
        <v>62</v>
      </c>
      <c r="G15" s="14" t="s">
        <v>62</v>
      </c>
      <c r="H15" s="34">
        <v>55</v>
      </c>
      <c r="I15" s="14">
        <v>0.01</v>
      </c>
      <c r="J15" s="2">
        <f t="shared" si="5"/>
        <v>60</v>
      </c>
      <c r="K15" s="9">
        <f>(J15/(0.01*I15))*0.2</f>
        <v>120000</v>
      </c>
      <c r="L15" s="1"/>
      <c r="M15" s="39"/>
      <c r="N15" s="37"/>
      <c r="O15" s="37"/>
      <c r="P15" s="40"/>
      <c r="Q15" s="40"/>
      <c r="R15" s="41"/>
      <c r="S15" s="41"/>
      <c r="T15" s="41"/>
      <c r="U15" s="41"/>
      <c r="V15" s="41"/>
    </row>
    <row r="16" spans="1:35" x14ac:dyDescent="0.2">
      <c r="A16" s="105" t="s">
        <v>130</v>
      </c>
      <c r="B16" s="57" t="s">
        <v>118</v>
      </c>
      <c r="C16" s="14" t="s">
        <v>62</v>
      </c>
      <c r="D16" s="34">
        <v>23</v>
      </c>
      <c r="E16" s="34"/>
      <c r="F16" s="14" t="s">
        <v>62</v>
      </c>
      <c r="G16" s="34">
        <v>20</v>
      </c>
      <c r="H16" s="34"/>
      <c r="I16" s="14">
        <v>0.1</v>
      </c>
      <c r="J16" s="22">
        <f>AVERAGE(D16,G16)</f>
        <v>21.5</v>
      </c>
      <c r="K16" s="9">
        <f t="shared" si="3"/>
        <v>4300</v>
      </c>
      <c r="L16" s="1"/>
      <c r="M16" s="39"/>
      <c r="N16" s="37"/>
      <c r="O16" s="37"/>
      <c r="P16" s="40"/>
      <c r="Q16" s="42"/>
      <c r="R16" s="41"/>
      <c r="S16" s="41"/>
      <c r="T16" s="41"/>
      <c r="U16" s="41"/>
      <c r="V16" s="41"/>
    </row>
    <row r="17" spans="1:30" ht="15" customHeight="1" x14ac:dyDescent="0.2">
      <c r="A17" s="105"/>
      <c r="B17" s="57" t="s">
        <v>119</v>
      </c>
      <c r="C17" s="14" t="s">
        <v>62</v>
      </c>
      <c r="D17" s="34">
        <v>85</v>
      </c>
      <c r="E17" s="34"/>
      <c r="F17" s="14" t="s">
        <v>62</v>
      </c>
      <c r="G17" s="34">
        <v>62</v>
      </c>
      <c r="H17" s="34"/>
      <c r="I17" s="14">
        <v>0.1</v>
      </c>
      <c r="J17" s="22">
        <f>AVERAGE(D17,G17)</f>
        <v>73.5</v>
      </c>
      <c r="K17" s="9">
        <f t="shared" si="3"/>
        <v>14700</v>
      </c>
      <c r="L17" s="1"/>
      <c r="M17" s="39"/>
      <c r="N17" s="37"/>
      <c r="O17" s="37"/>
      <c r="P17" s="40"/>
      <c r="Q17" s="42"/>
      <c r="R17" s="41"/>
      <c r="S17" s="41"/>
      <c r="T17" s="41"/>
      <c r="U17" s="41"/>
      <c r="V17" s="41"/>
    </row>
    <row r="18" spans="1:30" x14ac:dyDescent="0.2">
      <c r="A18" s="105"/>
      <c r="B18" s="57" t="s">
        <v>142</v>
      </c>
      <c r="C18" s="14" t="s">
        <v>62</v>
      </c>
      <c r="D18" s="34">
        <v>47</v>
      </c>
      <c r="E18" s="34"/>
      <c r="F18" s="14" t="s">
        <v>62</v>
      </c>
      <c r="G18" s="34">
        <v>73</v>
      </c>
      <c r="H18" s="34"/>
      <c r="I18" s="14">
        <v>0.1</v>
      </c>
      <c r="J18" s="22">
        <f>AVERAGE(D18,G18)</f>
        <v>60</v>
      </c>
      <c r="K18" s="9">
        <f t="shared" si="3"/>
        <v>12000</v>
      </c>
      <c r="L18" s="1"/>
      <c r="M18" s="39"/>
      <c r="N18" s="37"/>
      <c r="O18" s="37"/>
      <c r="P18" s="40"/>
      <c r="Q18" s="42"/>
      <c r="R18" s="41"/>
      <c r="S18" s="41"/>
      <c r="T18" s="41"/>
      <c r="U18" s="41"/>
      <c r="V18" s="41"/>
      <c r="X18" s="1"/>
    </row>
    <row r="19" spans="1:30" ht="15" customHeight="1" x14ac:dyDescent="0.2">
      <c r="A19" s="108" t="s">
        <v>132</v>
      </c>
      <c r="B19" s="87" t="s">
        <v>120</v>
      </c>
      <c r="C19" s="79">
        <v>3</v>
      </c>
      <c r="D19" s="79"/>
      <c r="E19" s="79"/>
      <c r="F19" s="79">
        <v>1</v>
      </c>
      <c r="G19" s="79"/>
      <c r="H19" s="79"/>
      <c r="I19" s="59">
        <v>1</v>
      </c>
      <c r="J19" s="81">
        <f>AVERAGE(C19,F19)</f>
        <v>2</v>
      </c>
      <c r="K19" s="60">
        <f>(J19/(0.05*I19))*0.2</f>
        <v>8</v>
      </c>
      <c r="L19" s="1"/>
      <c r="M19" s="40"/>
      <c r="N19" s="40"/>
      <c r="O19" s="40"/>
      <c r="P19" s="40"/>
      <c r="Q19" s="40"/>
      <c r="R19" s="40"/>
      <c r="S19" s="40"/>
      <c r="T19" s="40"/>
      <c r="U19" s="40"/>
      <c r="V19" s="40"/>
    </row>
    <row r="20" spans="1:30" x14ac:dyDescent="0.2">
      <c r="A20" s="108"/>
      <c r="B20" s="87" t="s">
        <v>121</v>
      </c>
      <c r="C20" s="79">
        <v>1</v>
      </c>
      <c r="D20" s="79"/>
      <c r="E20" s="79"/>
      <c r="F20" s="79">
        <v>1</v>
      </c>
      <c r="G20" s="79"/>
      <c r="H20" s="79"/>
      <c r="I20" s="59">
        <v>1</v>
      </c>
      <c r="J20" s="81">
        <f>AVERAGE(C20,F20)</f>
        <v>1</v>
      </c>
      <c r="K20" s="60">
        <f t="shared" ref="K19:K21" si="6">(J20/(0.05*I20))*0.2</f>
        <v>4</v>
      </c>
      <c r="L20" s="1"/>
      <c r="M20" s="40"/>
      <c r="N20" s="40"/>
      <c r="O20" s="40"/>
      <c r="P20" s="40"/>
      <c r="Q20" s="40"/>
      <c r="R20" s="40"/>
      <c r="S20" s="40"/>
      <c r="T20" s="40"/>
      <c r="U20" s="40"/>
      <c r="V20" s="40"/>
    </row>
    <row r="21" spans="1:30" x14ac:dyDescent="0.2">
      <c r="A21" s="108"/>
      <c r="B21" s="87" t="s">
        <v>143</v>
      </c>
      <c r="C21" s="79">
        <v>1</v>
      </c>
      <c r="D21" s="79"/>
      <c r="E21" s="79"/>
      <c r="F21" s="79">
        <v>1</v>
      </c>
      <c r="G21" s="79"/>
      <c r="H21" s="79"/>
      <c r="I21" s="59">
        <v>1</v>
      </c>
      <c r="J21" s="81">
        <f>AVERAGE(C21,F21)</f>
        <v>1</v>
      </c>
      <c r="K21" s="60">
        <f t="shared" si="6"/>
        <v>4</v>
      </c>
      <c r="L21" s="1"/>
    </row>
    <row r="22" spans="1:30" x14ac:dyDescent="0.2">
      <c r="A22" s="58" t="s">
        <v>68</v>
      </c>
      <c r="B22" s="2"/>
      <c r="C22" s="2">
        <v>1</v>
      </c>
      <c r="D22" s="2">
        <f>C22/10</f>
        <v>0.1</v>
      </c>
      <c r="E22" s="2">
        <f>D22/10</f>
        <v>0.01</v>
      </c>
      <c r="F22" s="2">
        <v>1</v>
      </c>
      <c r="G22" s="2">
        <f>F22/10</f>
        <v>0.1</v>
      </c>
      <c r="H22" s="2">
        <f>G22/10</f>
        <v>0.01</v>
      </c>
      <c r="K22" s="1"/>
      <c r="L22" s="1"/>
      <c r="AD22" s="73"/>
    </row>
    <row r="23" spans="1:30" x14ac:dyDescent="0.2">
      <c r="A23" s="112" t="s">
        <v>85</v>
      </c>
      <c r="B23" s="112"/>
      <c r="C23" s="112"/>
      <c r="L23" s="1"/>
    </row>
    <row r="24" spans="1:30" ht="16" customHeight="1" x14ac:dyDescent="0.2">
      <c r="L24" s="1"/>
    </row>
    <row r="25" spans="1:30" ht="15" customHeight="1" x14ac:dyDescent="0.2">
      <c r="L25" s="1"/>
    </row>
    <row r="26" spans="1:30" ht="16" customHeight="1" x14ac:dyDescent="0.2">
      <c r="L26" s="1"/>
    </row>
    <row r="27" spans="1:30" ht="15" customHeight="1" x14ac:dyDescent="0.2">
      <c r="L27" s="1"/>
    </row>
    <row r="28" spans="1:30" x14ac:dyDescent="0.2">
      <c r="L28" s="1"/>
    </row>
    <row r="29" spans="1:30" x14ac:dyDescent="0.2">
      <c r="L29" s="1"/>
    </row>
    <row r="30" spans="1:30" ht="15" customHeight="1" x14ac:dyDescent="0.2">
      <c r="L30" s="1"/>
    </row>
    <row r="31" spans="1:30" x14ac:dyDescent="0.2">
      <c r="L31" s="1"/>
    </row>
    <row r="32" spans="1:30" x14ac:dyDescent="0.2">
      <c r="L32" s="1"/>
    </row>
    <row r="33" spans="12:12" ht="15" customHeight="1" x14ac:dyDescent="0.2">
      <c r="L33" s="1"/>
    </row>
    <row r="34" spans="12:12" x14ac:dyDescent="0.2">
      <c r="L34" s="1"/>
    </row>
    <row r="35" spans="12:12" x14ac:dyDescent="0.2">
      <c r="L35" s="1"/>
    </row>
    <row r="36" spans="12:12" x14ac:dyDescent="0.2">
      <c r="L36" s="1"/>
    </row>
    <row r="37" spans="12:12" x14ac:dyDescent="0.2">
      <c r="L37" s="1"/>
    </row>
    <row r="57" spans="43:43" x14ac:dyDescent="0.2">
      <c r="AQ57" s="73"/>
    </row>
  </sheetData>
  <mergeCells count="11">
    <mergeCell ref="AA2:AF2"/>
    <mergeCell ref="N2:W2"/>
    <mergeCell ref="A23:C23"/>
    <mergeCell ref="A16:A18"/>
    <mergeCell ref="A19:A21"/>
    <mergeCell ref="A13:A15"/>
    <mergeCell ref="A10:A12"/>
    <mergeCell ref="F2:H2"/>
    <mergeCell ref="A4:A6"/>
    <mergeCell ref="A7:A9"/>
    <mergeCell ref="C2:E2"/>
  </mergeCells>
  <pageMargins left="0.75" right="0.75" top="1" bottom="1" header="0.5" footer="0.5"/>
  <pageSetup scale="17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304E3-B345-FB46-AE4F-7C642F414EA9}">
  <dimension ref="F7:O21"/>
  <sheetViews>
    <sheetView workbookViewId="0">
      <selection activeCell="G20" sqref="G20"/>
    </sheetView>
  </sheetViews>
  <sheetFormatPr baseColWidth="10" defaultRowHeight="16" x14ac:dyDescent="0.2"/>
  <cols>
    <col min="6" max="6" width="20.1640625" bestFit="1" customWidth="1"/>
  </cols>
  <sheetData>
    <row r="7" spans="6:12" x14ac:dyDescent="0.2">
      <c r="G7">
        <v>210603</v>
      </c>
      <c r="H7">
        <v>191118</v>
      </c>
      <c r="I7">
        <v>190821</v>
      </c>
    </row>
    <row r="8" spans="6:12" ht="34" x14ac:dyDescent="0.2">
      <c r="F8" s="2"/>
      <c r="G8" s="27" t="s">
        <v>134</v>
      </c>
      <c r="J8" t="s">
        <v>89</v>
      </c>
      <c r="K8" t="s">
        <v>144</v>
      </c>
      <c r="L8" t="s">
        <v>145</v>
      </c>
    </row>
    <row r="9" spans="6:12" x14ac:dyDescent="0.2">
      <c r="F9" s="2" t="s">
        <v>3</v>
      </c>
      <c r="G9" s="13">
        <v>416.32231404958679</v>
      </c>
      <c r="H9" s="88">
        <v>825.17482517482529</v>
      </c>
      <c r="I9" s="75">
        <v>361.22448979591837</v>
      </c>
      <c r="J9" s="75">
        <f>AVERAGE(G9:I9)</f>
        <v>534.24054300677676</v>
      </c>
      <c r="K9">
        <f>STDEV(G9:I9)</f>
        <v>253.45810297729747</v>
      </c>
      <c r="L9">
        <f>TTEST(G9:I9,G$9:I$9,2,2)</f>
        <v>1</v>
      </c>
    </row>
    <row r="10" spans="6:12" x14ac:dyDescent="0.2">
      <c r="F10" s="2" t="s">
        <v>114</v>
      </c>
      <c r="G10" s="13">
        <v>86.686390532544365</v>
      </c>
      <c r="H10" s="88">
        <v>303.42465753424659</v>
      </c>
      <c r="I10" s="75">
        <v>51.590909090909093</v>
      </c>
      <c r="J10" s="75">
        <f>AVERAGE(G10:I10)</f>
        <v>147.23398571923335</v>
      </c>
      <c r="K10">
        <f>STDEV(G10:I10)</f>
        <v>136.39856185430961</v>
      </c>
      <c r="L10">
        <f>TTEST(G10:I10,G$9:I$9,2,2)</f>
        <v>8.0351956919841663E-2</v>
      </c>
    </row>
    <row r="11" spans="6:12" x14ac:dyDescent="0.2">
      <c r="F11" s="2" t="s">
        <v>115</v>
      </c>
      <c r="G11" s="13">
        <v>588.43537414965988</v>
      </c>
      <c r="H11" s="88">
        <v>527.58620689655174</v>
      </c>
      <c r="I11" s="75">
        <v>2215.6862745098038</v>
      </c>
      <c r="J11" s="75">
        <f>AVERAGE(G11:I11)</f>
        <v>1110.5692851853385</v>
      </c>
      <c r="K11">
        <f>STDEV(G11:I11)</f>
        <v>957.54285823613486</v>
      </c>
      <c r="L11">
        <f>TTEST(G11:I11,G$9:I$9,2,2)</f>
        <v>0.37057178001484059</v>
      </c>
    </row>
    <row r="12" spans="6:12" x14ac:dyDescent="0.2">
      <c r="F12" s="2"/>
      <c r="G12" s="13"/>
    </row>
    <row r="13" spans="6:12" x14ac:dyDescent="0.2">
      <c r="F13" s="2"/>
      <c r="G13" s="13"/>
    </row>
    <row r="16" spans="6:12" ht="51" x14ac:dyDescent="0.2">
      <c r="G16" s="27" t="s">
        <v>146</v>
      </c>
      <c r="H16" s="28" t="s">
        <v>147</v>
      </c>
      <c r="K16" s="90" t="s">
        <v>137</v>
      </c>
    </row>
    <row r="17" spans="6:15" x14ac:dyDescent="0.2">
      <c r="F17" s="2"/>
      <c r="G17" s="4">
        <v>210603</v>
      </c>
      <c r="K17" s="90" t="s">
        <v>148</v>
      </c>
      <c r="N17" s="4">
        <v>191118</v>
      </c>
      <c r="O17" s="4">
        <v>190821</v>
      </c>
    </row>
    <row r="18" spans="6:15" x14ac:dyDescent="0.2">
      <c r="F18" s="2" t="s">
        <v>3</v>
      </c>
      <c r="G18" s="13">
        <v>152.70499594064316</v>
      </c>
      <c r="H18" s="91">
        <v>131.5391017</v>
      </c>
      <c r="K18" s="90" t="s">
        <v>149</v>
      </c>
      <c r="L18" s="91">
        <v>147.83021890000001</v>
      </c>
      <c r="N18" s="88">
        <v>137.14853260000001</v>
      </c>
      <c r="O18" s="75"/>
    </row>
    <row r="19" spans="6:15" x14ac:dyDescent="0.2">
      <c r="F19" s="2" t="s">
        <v>114</v>
      </c>
      <c r="G19" s="13">
        <v>206.40357599160433</v>
      </c>
      <c r="H19" s="91">
        <v>169.1624228</v>
      </c>
      <c r="K19" s="90" t="s">
        <v>150</v>
      </c>
      <c r="N19" s="88">
        <v>161.15705149999999</v>
      </c>
      <c r="O19" s="75"/>
    </row>
    <row r="20" spans="6:15" x14ac:dyDescent="0.2">
      <c r="F20" s="2" t="s">
        <v>115</v>
      </c>
      <c r="G20" s="13">
        <v>144.42003727635083</v>
      </c>
      <c r="H20" s="91">
        <v>147.09615160000001</v>
      </c>
      <c r="K20" s="90" t="s">
        <v>151</v>
      </c>
      <c r="L20" s="91">
        <v>186.53617840000001</v>
      </c>
      <c r="N20" s="89">
        <v>146.9349</v>
      </c>
      <c r="O20" s="75"/>
    </row>
    <row r="21" spans="6:15" x14ac:dyDescent="0.2">
      <c r="K21" s="75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PlateSetup</vt:lpstr>
      <vt:lpstr>PlatePlanning</vt:lpstr>
      <vt:lpstr>BacteriaCalcs</vt:lpstr>
      <vt:lpstr>Inoculum</vt:lpstr>
      <vt:lpstr>T=2</vt:lpstr>
      <vt:lpstr>T=24</vt:lpstr>
      <vt:lpstr>combined_assays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2021-07-21T13:18:11Z</cp:lastPrinted>
  <dcterms:created xsi:type="dcterms:W3CDTF">2019-06-17T19:44:26Z</dcterms:created>
  <dcterms:modified xsi:type="dcterms:W3CDTF">2021-07-31T12:42:13Z</dcterms:modified>
</cp:coreProperties>
</file>