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D70BA1A7-7D97-A04D-B243-0D9663BFAF04}" xr6:coauthVersionLast="47" xr6:coauthVersionMax="47" xr10:uidLastSave="{00000000-0000-0000-0000-000000000000}"/>
  <bookViews>
    <workbookView xWindow="37820" yWindow="2040" windowWidth="30280" windowHeight="17760" activeTab="4" xr2:uid="{205ACA2F-8ED2-DB48-97DD-6C35F8214E47}"/>
  </bookViews>
  <sheets>
    <sheet name="PlateSetup" sheetId="6" r:id="rId1"/>
    <sheet name="BacteriaCalcs" sheetId="2" r:id="rId2"/>
    <sheet name="Inoculum" sheetId="3" r:id="rId3"/>
    <sheet name="T=2" sheetId="4" r:id="rId4"/>
    <sheet name="T=24" sheetId="5" r:id="rId5"/>
    <sheet name="PlatePlanning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5" l="1"/>
  <c r="R7" i="5"/>
  <c r="AD6" i="5" l="1"/>
  <c r="AD7" i="5"/>
  <c r="AD8" i="5"/>
  <c r="AD5" i="5"/>
  <c r="R8" i="5" l="1"/>
  <c r="S6" i="5"/>
  <c r="S7" i="5"/>
  <c r="S8" i="5"/>
  <c r="S5" i="5"/>
  <c r="R6" i="5"/>
  <c r="R5" i="5"/>
  <c r="P9" i="5"/>
  <c r="P8" i="5"/>
  <c r="P7" i="5"/>
  <c r="P6" i="5"/>
  <c r="P5" i="5"/>
  <c r="P4" i="5"/>
  <c r="O9" i="5"/>
  <c r="O8" i="5"/>
  <c r="O7" i="5"/>
  <c r="O6" i="5"/>
  <c r="O5" i="5"/>
  <c r="O4" i="5"/>
  <c r="J5" i="5"/>
  <c r="J6" i="5"/>
  <c r="J4" i="5"/>
  <c r="P7" i="4"/>
  <c r="P6" i="4"/>
  <c r="P5" i="4"/>
  <c r="P4" i="4"/>
  <c r="O7" i="4"/>
  <c r="O6" i="4"/>
  <c r="O5" i="4"/>
  <c r="O4" i="4"/>
  <c r="H6" i="4"/>
  <c r="H15" i="4"/>
  <c r="H12" i="4"/>
  <c r="H9" i="4"/>
  <c r="M8" i="4"/>
  <c r="M7" i="4"/>
  <c r="M6" i="4"/>
  <c r="M5" i="4"/>
  <c r="M4" i="4"/>
  <c r="M3" i="4"/>
  <c r="L8" i="4"/>
  <c r="L7" i="4"/>
  <c r="L6" i="4"/>
  <c r="L5" i="4"/>
  <c r="L4" i="4"/>
  <c r="J14" i="5"/>
  <c r="K14" i="5" s="1"/>
  <c r="J15" i="5"/>
  <c r="K15" i="5" s="1"/>
  <c r="J11" i="5"/>
  <c r="J12" i="5"/>
  <c r="K12" i="5" s="1"/>
  <c r="J13" i="5"/>
  <c r="K13" i="5" s="1"/>
  <c r="J10" i="5"/>
  <c r="K10" i="5" s="1"/>
  <c r="J16" i="5"/>
  <c r="J18" i="5"/>
  <c r="J17" i="5"/>
  <c r="J9" i="5"/>
  <c r="J8" i="5"/>
  <c r="J7" i="5"/>
  <c r="K11" i="5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C24" i="3"/>
  <c r="C23" i="3"/>
  <c r="C22" i="3"/>
  <c r="C21" i="3"/>
  <c r="C20" i="3"/>
  <c r="C19" i="3"/>
  <c r="B24" i="3"/>
  <c r="B23" i="3"/>
  <c r="B22" i="3"/>
  <c r="B21" i="3"/>
  <c r="B20" i="3"/>
  <c r="B19" i="3"/>
  <c r="M3" i="3"/>
  <c r="H14" i="3"/>
  <c r="H13" i="3"/>
  <c r="H6" i="3"/>
  <c r="H7" i="3"/>
  <c r="H8" i="3"/>
  <c r="H9" i="3"/>
  <c r="H10" i="3"/>
  <c r="H11" i="3"/>
  <c r="H12" i="3"/>
  <c r="H5" i="3"/>
  <c r="H4" i="3"/>
  <c r="H3" i="3"/>
  <c r="J5" i="3"/>
  <c r="L5" i="3" s="1"/>
  <c r="O19" i="2"/>
  <c r="O18" i="2"/>
  <c r="O17" i="2"/>
  <c r="O16" i="2"/>
  <c r="O15" i="2"/>
  <c r="O14" i="2"/>
  <c r="D4" i="2"/>
  <c r="D5" i="2"/>
  <c r="D6" i="2"/>
  <c r="D7" i="2"/>
  <c r="D8" i="2"/>
  <c r="D3" i="2"/>
  <c r="I7" i="3" l="1"/>
  <c r="K7" i="3" s="1"/>
  <c r="M7" i="3" s="1"/>
  <c r="J7" i="3"/>
  <c r="L7" i="3" s="1"/>
  <c r="I5" i="3"/>
  <c r="K5" i="3" s="1"/>
  <c r="M5" i="3" s="1"/>
  <c r="Q23" i="6"/>
  <c r="Q10" i="6"/>
  <c r="Q7" i="6"/>
  <c r="F12" i="1"/>
  <c r="W4" i="6"/>
  <c r="W5" i="6" s="1"/>
  <c r="W6" i="6" s="1"/>
  <c r="Q6" i="6" s="1"/>
  <c r="W13" i="6"/>
  <c r="W14" i="6" s="1"/>
  <c r="W15" i="6" s="1"/>
  <c r="Q9" i="6" s="1"/>
  <c r="F11" i="1"/>
  <c r="C9" i="1"/>
  <c r="B8" i="1"/>
  <c r="K9" i="5"/>
  <c r="K7" i="5"/>
  <c r="Q8" i="6" l="1"/>
  <c r="I9" i="3"/>
  <c r="F3" i="4"/>
  <c r="F4" i="4"/>
  <c r="F5" i="4"/>
  <c r="F6" i="4"/>
  <c r="J9" i="3" l="1"/>
  <c r="G22" i="5" l="1"/>
  <c r="H22" i="5" s="1"/>
  <c r="D22" i="5"/>
  <c r="E22" i="5" s="1"/>
  <c r="J21" i="5"/>
  <c r="K21" i="5" s="1"/>
  <c r="J20" i="5"/>
  <c r="K20" i="5" s="1"/>
  <c r="J19" i="5"/>
  <c r="K19" i="5" s="1"/>
  <c r="K18" i="5"/>
  <c r="K17" i="5"/>
  <c r="K16" i="5"/>
  <c r="K8" i="5"/>
  <c r="K6" i="5"/>
  <c r="K5" i="5"/>
  <c r="K4" i="5"/>
  <c r="B10" i="1" l="1"/>
  <c r="C10" i="1"/>
  <c r="B9" i="1"/>
  <c r="I13" i="3" l="1"/>
  <c r="K13" i="3" s="1"/>
  <c r="J13" i="3"/>
  <c r="L13" i="3" s="1"/>
  <c r="J11" i="3"/>
  <c r="L11" i="3" s="1"/>
  <c r="I11" i="3"/>
  <c r="K11" i="3" s="1"/>
  <c r="M11" i="3" s="1"/>
  <c r="M13" i="3" l="1"/>
  <c r="J3" i="3" l="1"/>
  <c r="I3" i="3"/>
  <c r="K3" i="3" s="1"/>
  <c r="B19" i="4" l="1"/>
  <c r="Q19" i="6"/>
  <c r="Q4" i="6"/>
  <c r="Q21" i="6" l="1"/>
  <c r="Q25" i="6" l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8" i="4"/>
  <c r="G8" i="4" s="1"/>
  <c r="F7" i="4"/>
  <c r="G7" i="4" s="1"/>
  <c r="G6" i="4"/>
  <c r="G5" i="4"/>
  <c r="G4" i="4"/>
  <c r="G3" i="4"/>
  <c r="E15" i="3"/>
  <c r="F15" i="3" s="1"/>
  <c r="L3" i="4" l="1"/>
  <c r="L3" i="3"/>
  <c r="K9" i="3"/>
  <c r="L9" i="3"/>
  <c r="M9" i="3" l="1"/>
  <c r="B36" i="1" l="1"/>
  <c r="B37" i="1" s="1"/>
  <c r="B33" i="1"/>
  <c r="B34" i="1" s="1"/>
  <c r="W31" i="1"/>
  <c r="W30" i="1"/>
  <c r="W29" i="1"/>
  <c r="C11" i="1"/>
  <c r="B11" i="1"/>
  <c r="B12" i="1" l="1"/>
</calcChain>
</file>

<file path=xl/sharedStrings.xml><?xml version="1.0" encoding="utf-8"?>
<sst xmlns="http://schemas.openxmlformats.org/spreadsheetml/2006/main" count="335" uniqueCount="145">
  <si>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</si>
  <si>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</si>
  <si>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</si>
  <si>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</si>
  <si>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</si>
  <si>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</si>
  <si>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</si>
  <si>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</si>
  <si>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</si>
  <si>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</si>
  <si>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</si>
  <si>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</si>
  <si>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</si>
  <si>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</si>
  <si>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</si>
  <si>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</si>
  <si>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</si>
  <si>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</si>
  <si>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</si>
  <si>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</si>
  <si>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</si>
  <si>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</si>
  <si>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</si>
  <si>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</si>
  <si>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</si>
  <si>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</si>
  <si>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</si>
  <si>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</si>
  <si>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</si>
  <si>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</si>
  <si>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</si>
  <si>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</si>
  <si>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</si>
  <si>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</si>
  <si>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</si>
  <si>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</si>
  <si>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</si>
  <si>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</si>
  <si>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</si>
  <si>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</si>
  <si>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</si>
  <si>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</si>
  <si>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</si>
  <si>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</si>
  <si>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</si>
  <si>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</si>
  <si>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</si>
  <si>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</si>
  <si>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</si>
  <si>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</si>
  <si>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</si>
  <si>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</si>
  <si>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</si>
  <si>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</si>
  <si>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</si>
  <si>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</si>
  <si>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</si>
  <si>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</si>
  <si>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</si>
  <si>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</si>
  <si>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</si>
  <si>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MOI (based on number of seeded macrophage- see setup)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</si>
  <si>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</si>
  <si>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</si>
  <si>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</si>
  <si>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</si>
  <si>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</si>
  <si>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</si>
  <si>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</si>
  <si>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</si>
  <si>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</si>
  <si>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</si>
  <si>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</si>
  <si>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</si>
  <si>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</si>
  <si>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</si>
  <si>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</si>
  <si>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</si>
  <si>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</si>
  <si>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</si>
  <si>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</si>
  <si>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</si>
  <si>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</si>
  <si>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50 ul cells plated</t>
  </si>
  <si>
    <t>Track Plate 1</t>
  </si>
  <si>
    <t>Track Plate 2</t>
  </si>
  <si>
    <t>*Plated 50 ul on circular plate</t>
  </si>
  <si>
    <t>7A</t>
  </si>
  <si>
    <t>7C</t>
  </si>
  <si>
    <t>T=24</t>
  </si>
  <si>
    <t>2nd measurement</t>
  </si>
  <si>
    <t>1st measurement</t>
  </si>
  <si>
    <t>Average</t>
  </si>
  <si>
    <t>Undiluted</t>
  </si>
  <si>
    <t>Density</t>
  </si>
  <si>
    <t>#</t>
  </si>
  <si>
    <t>∆pigR</t>
  </si>
  <si>
    <t>2x each, each 1/2 plate</t>
  </si>
  <si>
    <t>4A</t>
  </si>
  <si>
    <t>4B</t>
  </si>
  <si>
    <t>4C</t>
  </si>
  <si>
    <t>∆rpsU pF</t>
  </si>
  <si>
    <t>∆rpsU pF-rpsU1</t>
  </si>
  <si>
    <t>∆rpsU pF-rpsU2</t>
  </si>
  <si>
    <t>∆rpsU pF-rpsU3</t>
  </si>
  <si>
    <t>∆rpsU2 pF</t>
  </si>
  <si>
    <t>∆rpsU2 pF-rpsU1</t>
  </si>
  <si>
    <t>∆rpsU2 pF-rpsU2</t>
  </si>
  <si>
    <t>∆rpsU2 pF-rpsU3</t>
  </si>
  <si>
    <t>KRLVS121</t>
  </si>
  <si>
    <t>KRLVS122</t>
  </si>
  <si>
    <t>KRLVS123</t>
  </si>
  <si>
    <t>KRLVS124</t>
  </si>
  <si>
    <t>JCLVS106</t>
  </si>
  <si>
    <t>6 strains in duplicate</t>
  </si>
  <si>
    <t>Round: 6 strains x triplicate wells x duplicate</t>
  </si>
  <si>
    <t>Square: 5 strains x 3 wells x 2 plates; round: ∆pigR x 3 wells x 2 plates</t>
  </si>
  <si>
    <t>For final vol 1.3 mL at 0.05</t>
  </si>
  <si>
    <t>Volume to dilute in 3 mL (usually 1:100)</t>
  </si>
  <si>
    <t>Volume media (mL)</t>
  </si>
  <si>
    <t>For final vol 3 mL at 0.0005</t>
  </si>
  <si>
    <t>LVS ∆rpsU2 pF</t>
  </si>
  <si>
    <t>LVS ∆rpsU2 pF-rpsU2-V</t>
  </si>
  <si>
    <t>LVS ∆rpsU2 pF-rpsU1-V</t>
  </si>
  <si>
    <t>LVS ∆pigR</t>
  </si>
  <si>
    <t>5A</t>
  </si>
  <si>
    <t>5B</t>
  </si>
  <si>
    <t>6A</t>
  </si>
  <si>
    <t>6B</t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</si>
  <si>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</si>
  <si>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rpsU1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</si>
  <si>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</si>
  <si>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rpsU2</t>
    </r>
    <r>
      <rPr>
        <sz val="12"/>
        <color theme="1"/>
        <rFont val="Calibri"/>
        <family val="2"/>
        <scheme val="minor"/>
      </rPr>
      <t xml:space="preserve"> pF-</t>
    </r>
    <r>
      <rPr>
        <i/>
        <sz val="12"/>
        <color theme="1"/>
        <rFont val="Calibri"/>
        <family val="2"/>
        <scheme val="minor"/>
      </rPr>
      <t>rpsU3</t>
    </r>
    <r>
      <rPr>
        <sz val="12"/>
        <color theme="1"/>
        <rFont val="Calibri"/>
        <family val="2"/>
        <scheme val="minor"/>
      </rPr>
      <t>-V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</si>
  <si>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</si>
  <si>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</si>
  <si>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rpsU1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</si>
  <si>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</t>
    </r>
  </si>
  <si>
    <r>
      <t>LVS ∆</t>
    </r>
    <r>
      <rPr>
        <b/>
        <i/>
        <sz val="12"/>
        <color theme="1"/>
        <rFont val="Calibri"/>
        <family val="2"/>
        <scheme val="minor"/>
      </rPr>
      <t>rpsU2</t>
    </r>
    <r>
      <rPr>
        <b/>
        <sz val="12"/>
        <color theme="1"/>
        <rFont val="Calibri"/>
        <family val="2"/>
        <scheme val="minor"/>
      </rPr>
      <t xml:space="preserve"> pF-</t>
    </r>
    <r>
      <rPr>
        <b/>
        <i/>
        <sz val="12"/>
        <color theme="1"/>
        <rFont val="Calibri"/>
        <family val="2"/>
        <scheme val="minor"/>
      </rPr>
      <t>rpsU3</t>
    </r>
    <r>
      <rPr>
        <b/>
        <sz val="12"/>
        <color theme="1"/>
        <rFont val="Calibri"/>
        <family val="2"/>
        <scheme val="minor"/>
      </rPr>
      <t>-V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</si>
  <si>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</si>
  <si>
    <r>
      <t>LVS ∆</t>
    </r>
    <r>
      <rPr>
        <b/>
        <i/>
        <sz val="12"/>
        <color theme="1"/>
        <rFont val="Calibri"/>
        <family val="2"/>
        <scheme val="minor"/>
      </rPr>
      <t>pigR</t>
    </r>
    <r>
      <rPr>
        <b/>
        <sz val="12"/>
        <color theme="1"/>
        <rFont val="Calibri"/>
        <family val="2"/>
        <scheme val="minor"/>
      </rPr>
      <t>*</t>
    </r>
  </si>
  <si>
    <t>T-test (vs ∆rpsU2)</t>
  </si>
  <si>
    <t>T=2</t>
  </si>
  <si>
    <t>Fold Replication</t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</si>
  <si>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vivo</t>
    </r>
  </si>
  <si>
    <r>
      <t xml:space="preserve">Generation Time </t>
    </r>
    <r>
      <rPr>
        <i/>
        <sz val="12"/>
        <color theme="1"/>
        <rFont val="Calibri"/>
        <family val="2"/>
        <scheme val="minor"/>
      </rPr>
      <t>in vitro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</si>
</sst>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7" fillId="0" borderId="1" xfId="0" applyNumberFormat="1" applyFont="1" applyBorder="1"/>
    <xf numFmtId="2" fontId="7" fillId="0" borderId="1" xfId="0" applyNumberFormat="1" applyFont="1" applyFill="1" applyBorder="1"/>
    <xf numFmtId="2" fontId="7" fillId="0" borderId="1" xfId="0" applyNumberFormat="1" applyFont="1" applyBorder="1"/>
    <xf numFmtId="11" fontId="0" fillId="0" borderId="1" xfId="0" applyNumberFormat="1" applyFill="1" applyBorder="1"/>
    <xf numFmtId="164" fontId="0" fillId="0" borderId="1" xfId="0" applyNumberFormat="1" applyFill="1" applyBorder="1" applyAlignment="1">
      <alignment horizontal="center"/>
    </xf>
    <xf numFmtId="166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1" fontId="7" fillId="0" borderId="1" xfId="0" applyNumberFormat="1" applyFont="1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4" fontId="9" fillId="0" borderId="1" xfId="0" applyNumberFormat="1" applyFont="1" applyBorder="1"/>
    <xf numFmtId="1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1" xfId="0" applyNumberFormat="1" applyFont="1" applyBorder="1"/>
    <xf numFmtId="0" fontId="0" fillId="0" borderId="1" xfId="0" applyBorder="1" applyAlignment="1">
      <alignment horizontal="center"/>
    </xf>
    <xf numFmtId="166" fontId="0" fillId="0" borderId="6" xfId="0" applyNumberForma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1" fontId="0" fillId="3" borderId="1" xfId="0" applyNumberFormat="1" applyFill="1" applyBorder="1"/>
    <xf numFmtId="11" fontId="0" fillId="3" borderId="1" xfId="0" applyNumberFormat="1" applyFill="1" applyBorder="1"/>
    <xf numFmtId="0" fontId="0" fillId="3" borderId="1" xfId="0" applyFill="1" applyBorder="1"/>
    <xf numFmtId="0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166" fontId="0" fillId="3" borderId="6" xfId="0" applyNumberFormat="1" applyFill="1" applyBorder="1" applyAlignment="1">
      <alignment horizontal="right"/>
    </xf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Inoculum!$B$18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Inoculum!$C$19:$C$24</c:f>
                <c:numCache>
                  <c:formatCode>General</c:formatCode>
                  <c:ptCount val="6"/>
                  <c:pt idx="0">
                    <c:v>3.5355339059327378</c:v>
                  </c:pt>
                  <c:pt idx="1">
                    <c:v>35355.339059327373</c:v>
                  </c:pt>
                  <c:pt idx="2">
                    <c:v>10606.601717798198</c:v>
                  </c:pt>
                  <c:pt idx="3">
                    <c:v>17677.669529663686</c:v>
                  </c:pt>
                  <c:pt idx="4">
                    <c:v>7071.067811865476</c:v>
                  </c:pt>
                  <c:pt idx="5">
                    <c:v>35.355339059327378</c:v>
                  </c:pt>
                </c:numCache>
              </c:numRef>
            </c:plus>
            <c:minus>
              <c:numRef>
                <c:f>Inoculum!$C$19:$C$24</c:f>
                <c:numCache>
                  <c:formatCode>General</c:formatCode>
                  <c:ptCount val="6"/>
                  <c:pt idx="0">
                    <c:v>3.5355339059327378</c:v>
                  </c:pt>
                  <c:pt idx="1">
                    <c:v>35355.339059327373</c:v>
                  </c:pt>
                  <c:pt idx="2">
                    <c:v>10606.601717798198</c:v>
                  </c:pt>
                  <c:pt idx="3">
                    <c:v>17677.669529663686</c:v>
                  </c:pt>
                  <c:pt idx="4">
                    <c:v>7071.067811865476</c:v>
                  </c:pt>
                  <c:pt idx="5">
                    <c:v>35.355339059327378</c:v>
                  </c:pt>
                </c:numCache>
              </c:numRef>
            </c:minus>
          </c:errBars>
          <c:cat>
            <c:strRef>
              <c:f>Inoculum!$A$19:$A$24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Inoculum!$B$19:$B$24</c:f>
              <c:numCache>
                <c:formatCode>0.00E+00</c:formatCode>
                <c:ptCount val="6"/>
                <c:pt idx="0">
                  <c:v>7.5</c:v>
                </c:pt>
                <c:pt idx="1">
                  <c:v>210000</c:v>
                </c:pt>
                <c:pt idx="2">
                  <c:v>137500</c:v>
                </c:pt>
                <c:pt idx="3">
                  <c:v>157500</c:v>
                </c:pt>
                <c:pt idx="4">
                  <c:v>250000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'T=2'!$M$3:$M$8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88.911941455202381</c:v>
                  </c:pt>
                  <c:pt idx="2">
                    <c:v>61.849279165834488</c:v>
                  </c:pt>
                  <c:pt idx="3">
                    <c:v>33.045423283716609</c:v>
                  </c:pt>
                  <c:pt idx="4">
                    <c:v>176.95197088475732</c:v>
                  </c:pt>
                  <c:pt idx="5">
                    <c:v>0</c:v>
                  </c:pt>
                </c:numCache>
              </c:numRef>
            </c:plus>
            <c:minus>
              <c:numRef>
                <c:f>'T=2'!$M$3:$M$8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88.911941455202381</c:v>
                  </c:pt>
                  <c:pt idx="2">
                    <c:v>61.849279165834488</c:v>
                  </c:pt>
                  <c:pt idx="3">
                    <c:v>33.045423283716609</c:v>
                  </c:pt>
                  <c:pt idx="4">
                    <c:v>176.95197088475732</c:v>
                  </c:pt>
                  <c:pt idx="5">
                    <c:v>0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'T=2'!$K$3:$K$8</c:f>
              <c:strCache>
                <c:ptCount val="6"/>
                <c:pt idx="0">
                  <c:v>LVS</c:v>
                </c:pt>
                <c:pt idx="1">
                  <c:v>LVS ∆rpsU2 pF</c:v>
                </c:pt>
                <c:pt idx="2">
                  <c:v>LVS ∆rpsU2 pF-rpsU1-V</c:v>
                </c:pt>
                <c:pt idx="3">
                  <c:v>LVS ∆rpsU2 pF-rpsU2-V</c:v>
                </c:pt>
                <c:pt idx="4">
                  <c:v>LVS ∆rpsU2 pF-rpsU3-V</c:v>
                </c:pt>
                <c:pt idx="5">
                  <c:v>LVS ∆pigR</c:v>
                </c:pt>
              </c:strCache>
            </c:strRef>
          </c:cat>
          <c:val>
            <c:numRef>
              <c:f>'T=2'!$L$3:$L$8</c:f>
              <c:numCache>
                <c:formatCode>0.00E+00</c:formatCode>
                <c:ptCount val="6"/>
                <c:pt idx="0">
                  <c:v>0</c:v>
                </c:pt>
                <c:pt idx="1">
                  <c:v>191.33333333333334</c:v>
                </c:pt>
                <c:pt idx="2">
                  <c:v>214.66666666666666</c:v>
                </c:pt>
                <c:pt idx="3">
                  <c:v>212</c:v>
                </c:pt>
                <c:pt idx="4">
                  <c:v>266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plus>
            <c:min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minus>
          </c:errBars>
          <c:cat>
            <c:strRef>
              <c:f>'T=24'!$N$5:$N$8</c:f>
              <c:strCache>
                <c:ptCount val="4"/>
                <c:pt idx="0">
                  <c:v>LVS ∆rpsU2 pF</c:v>
                </c:pt>
                <c:pt idx="1">
                  <c:v>LVS ∆rpsU2 pF-rpsU1-V</c:v>
                </c:pt>
                <c:pt idx="2">
                  <c:v>LVS ∆rpsU2 pF-rpsU2-V</c:v>
                </c:pt>
                <c:pt idx="3">
                  <c:v>LVS ∆rpsU2 pF-rpsU3-V</c:v>
                </c:pt>
              </c:strCache>
            </c:strRef>
          </c:cat>
          <c:val>
            <c:numRef>
              <c:f>'T=24'!$O$5:$O$8</c:f>
              <c:numCache>
                <c:formatCode>0.00E+00</c:formatCode>
                <c:ptCount val="4"/>
                <c:pt idx="0">
                  <c:v>8100</c:v>
                </c:pt>
                <c:pt idx="1">
                  <c:v>34333.333333333336</c:v>
                </c:pt>
                <c:pt idx="2">
                  <c:v>103333.33333333333</c:v>
                </c:pt>
                <c:pt idx="3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814B-A364-060C7A02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281645247209"/>
          <c:y val="4.4444444444444398E-2"/>
          <c:w val="0.861274397077444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plus>
            <c:min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minus>
          </c:errBars>
          <c:cat>
            <c:strRef>
              <c:f>'T=24'!$N$5:$N$8</c:f>
              <c:strCache>
                <c:ptCount val="4"/>
                <c:pt idx="0">
                  <c:v>LVS ∆rpsU2 pF</c:v>
                </c:pt>
                <c:pt idx="1">
                  <c:v>LVS ∆rpsU2 pF-rpsU1-V</c:v>
                </c:pt>
                <c:pt idx="2">
                  <c:v>LVS ∆rpsU2 pF-rpsU2-V</c:v>
                </c:pt>
                <c:pt idx="3">
                  <c:v>LVS ∆rpsU2 pF-rpsU3-V</c:v>
                </c:pt>
              </c:strCache>
            </c:strRef>
          </c:cat>
          <c:val>
            <c:numRef>
              <c:f>'T=24'!$O$5:$O$8</c:f>
              <c:numCache>
                <c:formatCode>0.00E+00</c:formatCode>
                <c:ptCount val="4"/>
                <c:pt idx="0">
                  <c:v>8100</c:v>
                </c:pt>
                <c:pt idx="1">
                  <c:v>34333.333333333336</c:v>
                </c:pt>
                <c:pt idx="2">
                  <c:v>103333.33333333333</c:v>
                </c:pt>
                <c:pt idx="3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FD4D-8D93-A9EFA095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'T=24'!$W$2:$AB$2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'T=24'!$Y$5:$Y$8</c:f>
                <c:numCache>
                  <c:formatCode>General</c:formatCode>
                  <c:ptCount val="4"/>
                  <c:pt idx="0">
                    <c:v>88.911941455202381</c:v>
                  </c:pt>
                  <c:pt idx="1">
                    <c:v>61.849279165834488</c:v>
                  </c:pt>
                  <c:pt idx="2">
                    <c:v>33.045423283716609</c:v>
                  </c:pt>
                  <c:pt idx="3">
                    <c:v>176.95197088475732</c:v>
                  </c:pt>
                </c:numCache>
              </c:numRef>
            </c:plus>
            <c:minus>
              <c:numRef>
                <c:f>'T=24'!$Y$5:$Y$8</c:f>
                <c:numCache>
                  <c:formatCode>General</c:formatCode>
                  <c:ptCount val="4"/>
                  <c:pt idx="0">
                    <c:v>88.911941455202381</c:v>
                  </c:pt>
                  <c:pt idx="1">
                    <c:v>61.849279165834488</c:v>
                  </c:pt>
                  <c:pt idx="2">
                    <c:v>33.045423283716609</c:v>
                  </c:pt>
                  <c:pt idx="3">
                    <c:v>176.95197088475732</c:v>
                  </c:pt>
                </c:numCache>
              </c:numRef>
            </c:minus>
          </c:errBars>
          <c:val>
            <c:numRef>
              <c:f>'T=24'!$X$5:$X$8</c:f>
              <c:numCache>
                <c:formatCode>0.00E+00</c:formatCode>
                <c:ptCount val="4"/>
                <c:pt idx="0">
                  <c:v>191.33333333333334</c:v>
                </c:pt>
                <c:pt idx="1">
                  <c:v>214.66666666666666</c:v>
                </c:pt>
                <c:pt idx="2">
                  <c:v>212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5-3342-BBB7-D418E94C6120}"/>
            </c:ext>
          </c:extLst>
        </c:ser>
        <c:ser>
          <c:idx val="0"/>
          <c:order val="1"/>
          <c:tx>
            <c:strRef>
              <c:f>'T=24'!$N$2:$S$2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plus>
            <c:minus>
              <c:numRef>
                <c:f>'T=24'!$P$5:$P$8</c:f>
                <c:numCache>
                  <c:formatCode>General</c:formatCode>
                  <c:ptCount val="4"/>
                  <c:pt idx="0">
                    <c:v>953.93920141694559</c:v>
                  </c:pt>
                  <c:pt idx="1">
                    <c:v>6658.3281184793868</c:v>
                  </c:pt>
                  <c:pt idx="2">
                    <c:v>22941.955743426366</c:v>
                  </c:pt>
                  <c:pt idx="3">
                    <c:v>1410.6735979665884</c:v>
                  </c:pt>
                </c:numCache>
              </c:numRef>
            </c:minus>
          </c:errBars>
          <c:cat>
            <c:strRef>
              <c:f>'T=24'!$N$5:$N$8</c:f>
              <c:strCache>
                <c:ptCount val="4"/>
                <c:pt idx="0">
                  <c:v>LVS ∆rpsU2 pF</c:v>
                </c:pt>
                <c:pt idx="1">
                  <c:v>LVS ∆rpsU2 pF-rpsU1-V</c:v>
                </c:pt>
                <c:pt idx="2">
                  <c:v>LVS ∆rpsU2 pF-rpsU2-V</c:v>
                </c:pt>
                <c:pt idx="3">
                  <c:v>LVS ∆rpsU2 pF-rpsU3-V</c:v>
                </c:pt>
              </c:strCache>
            </c:strRef>
          </c:cat>
          <c:val>
            <c:numRef>
              <c:f>'T=24'!$O$5:$O$8</c:f>
              <c:numCache>
                <c:formatCode>0.00E+00</c:formatCode>
                <c:ptCount val="4"/>
                <c:pt idx="0">
                  <c:v>8100</c:v>
                </c:pt>
                <c:pt idx="1">
                  <c:v>34333.333333333336</c:v>
                </c:pt>
                <c:pt idx="2">
                  <c:v>103333.33333333333</c:v>
                </c:pt>
                <c:pt idx="3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3342-BBB7-D418E94C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9928384618086"/>
          <c:y val="4.4444444444444398E-2"/>
          <c:w val="0.83014787930960632"/>
          <c:h val="0.822793934734527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'T=24'!$N$5:$N$8</c:f>
              <c:strCache>
                <c:ptCount val="4"/>
                <c:pt idx="0">
                  <c:v>LVS ∆rpsU2 pF</c:v>
                </c:pt>
                <c:pt idx="1">
                  <c:v>LVS ∆rpsU2 pF-rpsU1-V</c:v>
                </c:pt>
                <c:pt idx="2">
                  <c:v>LVS ∆rpsU2 pF-rpsU2-V</c:v>
                </c:pt>
                <c:pt idx="3">
                  <c:v>LVS ∆rpsU2 pF-rpsU3-V</c:v>
                </c:pt>
              </c:strCache>
            </c:strRef>
          </c:cat>
          <c:val>
            <c:numRef>
              <c:f>'T=24'!$S$5:$S$8</c:f>
              <c:numCache>
                <c:formatCode>0.0</c:formatCode>
                <c:ptCount val="4"/>
                <c:pt idx="0">
                  <c:v>42.334494773519161</c:v>
                </c:pt>
                <c:pt idx="1">
                  <c:v>159.93788819875778</c:v>
                </c:pt>
                <c:pt idx="2">
                  <c:v>487.42138364779873</c:v>
                </c:pt>
                <c:pt idx="3">
                  <c:v>49.624060150375939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C14C-952C-9E733B5E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Fold Replication</a:t>
                </a:r>
              </a:p>
            </c:rich>
          </c:tx>
          <c:layout>
            <c:manualLayout>
              <c:xMode val="edge"/>
              <c:yMode val="edge"/>
              <c:x val="1.6689177281667009E-2"/>
              <c:y val="0.27169236864259894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23</xdr:row>
      <xdr:rowOff>158750</xdr:rowOff>
    </xdr:from>
    <xdr:to>
      <xdr:col>14</xdr:col>
      <xdr:colOff>749300</xdr:colOff>
      <xdr:row>35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419099</xdr:colOff>
      <xdr:row>22</xdr:row>
      <xdr:rowOff>31942</xdr:rowOff>
    </xdr:from>
    <xdr:to>
      <xdr:col>18</xdr:col>
      <xdr:colOff>704273</xdr:colOff>
      <xdr:row>40</xdr:row>
      <xdr:rowOff>194860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115354</xdr:colOff>
      <xdr:row>10</xdr:row>
      <xdr:rowOff>93733</xdr:rowOff>
    </xdr:from>
    <xdr:to>
      <xdr:col>22</xdr:col>
      <xdr:colOff>1206500</xdr:colOff>
      <xdr:row>30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7C6C4-FAE4-D84F-ACD2-6C5765F93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26</xdr:col>
      <xdr:colOff>333728</xdr:colOff>
      <xdr:row>66</xdr:row>
      <xdr:rowOff>174271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CFF3B-5E51-1F4C-8BF3-A62F020E8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532697</xdr:colOff>
      <xdr:row>10</xdr:row>
      <xdr:rowOff>39078</xdr:rowOff>
    </xdr:from>
    <xdr:to>
      <xdr:col>33</xdr:col>
      <xdr:colOff>296335</xdr:colOff>
      <xdr:row>32</xdr:row>
      <xdr:rowOff>176143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EBF98-414B-F042-9F3C-EAA352CEB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25400</xdr:colOff>
      <xdr:row>34</xdr:row>
      <xdr:rowOff>25400</xdr:rowOff>
    </xdr:from>
    <xdr:to>
      <xdr:col>37</xdr:col>
      <xdr:colOff>468846</xdr:colOff>
      <xdr:row>54</xdr:row>
      <xdr:rowOff>45967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22CEF-6E5D-5740-8FD5-FBD32FDBD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1:Z32"/>
  <sheetViews>
    <sheetView topLeftCell="C8" zoomScale="130" zoomScaleNormal="130" workbookViewId="0">
      <selection activeCell="P27" sqref="P27:P32"/>
    </sheetView>
  </sheetViews>
  <sheetFormatPr baseColWidth="10" defaultColWidth="10.6640625" defaultRowHeight="16" x14ac:dyDescent="0.2"/>
  <cols>
    <col min="1" max="1" width="2.5" bestFit="1" customWidth="1"/>
    <col min="2" max="4" width="14.33203125" customWidth="1"/>
    <col min="5" max="5" width="2.1640625" bestFit="1" customWidth="1"/>
    <col min="6" max="8" width="14.1640625" customWidth="1"/>
    <col min="9" max="9" width="2.1640625" bestFit="1" customWidth="1"/>
    <col min="10" max="12" width="14.5" customWidth="1"/>
    <col min="13" max="13" width="3.1640625" bestFit="1" customWidth="1"/>
    <col min="14" max="14" width="4.33203125" customWidth="1"/>
    <col min="15" max="15" width="3" customWidth="1"/>
    <col min="16" max="16" width="26.6640625" bestFit="1" customWidth="1"/>
    <col min="17" max="17" width="12.83203125" bestFit="1" customWidth="1"/>
    <col min="18" max="18" width="6.5" customWidth="1"/>
    <col min="19" max="22" width="3.1640625" bestFit="1" customWidth="1"/>
    <col min="23" max="23" width="8.6640625" bestFit="1" customWidth="1"/>
    <col min="25" max="28" width="3.5" customWidth="1"/>
  </cols>
  <sheetData>
    <row r="1" spans="1:26" ht="17" thickBot="1" x14ac:dyDescent="0.25">
      <c r="A1" s="2" t="s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56"/>
      <c r="P1" s="103" t="s">
        <v>1</v>
      </c>
      <c r="Q1" s="103"/>
      <c r="S1" s="104" t="s">
        <v>91</v>
      </c>
      <c r="T1" s="104"/>
      <c r="U1" s="104"/>
      <c r="V1" s="104"/>
      <c r="W1" s="104"/>
    </row>
    <row r="2" spans="1:26" ht="17" x14ac:dyDescent="0.2">
      <c r="A2" s="5" t="s">
        <v>2</v>
      </c>
      <c r="B2" s="6" t="s">
        <v>3</v>
      </c>
      <c r="C2" s="6" t="s">
        <v>3</v>
      </c>
      <c r="D2" s="6" t="s">
        <v>3</v>
      </c>
      <c r="E2" s="6"/>
      <c r="F2" s="6" t="s">
        <v>101</v>
      </c>
      <c r="G2" s="6" t="s">
        <v>101</v>
      </c>
      <c r="H2" s="6" t="s">
        <v>101</v>
      </c>
      <c r="I2" s="6"/>
      <c r="J2" s="6" t="s">
        <v>102</v>
      </c>
      <c r="K2" s="6" t="s">
        <v>102</v>
      </c>
      <c r="L2" s="6" t="s">
        <v>102</v>
      </c>
      <c r="M2" s="7"/>
      <c r="N2" s="40"/>
      <c r="P2" s="2" t="s">
        <v>4</v>
      </c>
      <c r="Q2" s="9">
        <v>25000</v>
      </c>
      <c r="S2" s="2">
        <v>42</v>
      </c>
      <c r="T2" s="2">
        <v>22</v>
      </c>
      <c r="U2" s="2">
        <v>20</v>
      </c>
      <c r="V2" s="2">
        <v>18</v>
      </c>
      <c r="W2" s="104"/>
    </row>
    <row r="3" spans="1:26" x14ac:dyDescent="0.2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41"/>
      <c r="P3" s="2" t="s">
        <v>6</v>
      </c>
      <c r="Q3" s="2">
        <v>0.2</v>
      </c>
      <c r="S3" s="2"/>
      <c r="T3" s="2"/>
      <c r="U3" s="2"/>
      <c r="V3" s="2"/>
      <c r="W3" s="104"/>
    </row>
    <row r="4" spans="1:26" x14ac:dyDescent="0.2">
      <c r="A4" s="5" t="s">
        <v>7</v>
      </c>
      <c r="B4" s="6"/>
      <c r="C4" s="6"/>
      <c r="D4" s="6"/>
      <c r="E4" s="7"/>
      <c r="F4" s="6"/>
      <c r="G4" s="6"/>
      <c r="H4" s="6"/>
      <c r="I4" s="8"/>
      <c r="J4" s="6"/>
      <c r="K4" s="6"/>
      <c r="L4" s="6"/>
      <c r="M4" s="2"/>
      <c r="N4" s="41"/>
      <c r="P4" s="2" t="s">
        <v>8</v>
      </c>
      <c r="Q4" s="9">
        <f>Q2/Q3</f>
        <v>125000</v>
      </c>
      <c r="S4" s="104" t="s">
        <v>92</v>
      </c>
      <c r="T4" s="104"/>
      <c r="U4" s="104"/>
      <c r="V4" s="104"/>
      <c r="W4" s="2">
        <f>AVERAGE(S2:V3)</f>
        <v>25.5</v>
      </c>
    </row>
    <row r="5" spans="1:26" ht="17" x14ac:dyDescent="0.2">
      <c r="A5" s="5" t="s">
        <v>9</v>
      </c>
      <c r="B5" s="6" t="s">
        <v>103</v>
      </c>
      <c r="C5" s="6" t="s">
        <v>103</v>
      </c>
      <c r="D5" s="6" t="s">
        <v>103</v>
      </c>
      <c r="E5" s="6"/>
      <c r="F5" s="6" t="s">
        <v>104</v>
      </c>
      <c r="G5" s="6" t="s">
        <v>104</v>
      </c>
      <c r="H5" s="6" t="s">
        <v>104</v>
      </c>
      <c r="I5" s="6"/>
      <c r="J5" s="6" t="s">
        <v>96</v>
      </c>
      <c r="K5" s="6" t="s">
        <v>96</v>
      </c>
      <c r="L5" s="6" t="s">
        <v>96</v>
      </c>
      <c r="M5" s="2"/>
      <c r="N5" s="41"/>
      <c r="P5" s="2" t="s">
        <v>10</v>
      </c>
      <c r="Q5" s="2">
        <v>12</v>
      </c>
      <c r="S5" s="104" t="s">
        <v>93</v>
      </c>
      <c r="T5" s="104"/>
      <c r="U5" s="104"/>
      <c r="V5" s="104"/>
      <c r="W5" s="2">
        <f>W4*2</f>
        <v>51</v>
      </c>
      <c r="Z5" s="1"/>
    </row>
    <row r="6" spans="1:26" ht="17" x14ac:dyDescent="0.2">
      <c r="A6" s="5" t="s">
        <v>11</v>
      </c>
      <c r="B6" s="6"/>
      <c r="C6" s="6"/>
      <c r="D6" s="6"/>
      <c r="E6" s="6"/>
      <c r="F6" s="6"/>
      <c r="G6" s="6"/>
      <c r="H6" s="6"/>
      <c r="I6" s="6"/>
      <c r="J6" s="6" t="s">
        <v>0</v>
      </c>
      <c r="K6" s="6"/>
      <c r="L6" s="6"/>
      <c r="M6" s="2"/>
      <c r="N6" s="41"/>
      <c r="P6" s="2" t="s">
        <v>12</v>
      </c>
      <c r="Q6" s="68">
        <f>W6</f>
        <v>510000</v>
      </c>
      <c r="S6" s="104" t="s">
        <v>94</v>
      </c>
      <c r="T6" s="104"/>
      <c r="U6" s="104"/>
      <c r="V6" s="104"/>
      <c r="W6" s="9">
        <f>W5*10000</f>
        <v>510000</v>
      </c>
    </row>
    <row r="7" spans="1:26" x14ac:dyDescent="0.2">
      <c r="A7" s="5" t="s">
        <v>13</v>
      </c>
      <c r="B7" s="10"/>
      <c r="C7" s="12"/>
      <c r="D7" s="6"/>
      <c r="E7" s="6"/>
      <c r="F7" s="6"/>
      <c r="G7" s="6"/>
      <c r="H7" s="6"/>
      <c r="I7" s="11"/>
      <c r="J7" s="11"/>
      <c r="K7" s="11"/>
      <c r="L7" s="11"/>
      <c r="M7" s="2"/>
      <c r="N7" s="41"/>
      <c r="P7" s="2" t="s">
        <v>14</v>
      </c>
      <c r="Q7" s="69">
        <f>(Q5*Q4)/Q6+0.1</f>
        <v>3.0411764705882356</v>
      </c>
    </row>
    <row r="8" spans="1:26" x14ac:dyDescent="0.2">
      <c r="A8" s="5" t="s">
        <v>15</v>
      </c>
      <c r="B8" s="6"/>
      <c r="C8" s="6"/>
      <c r="D8" s="6"/>
      <c r="E8" s="7"/>
      <c r="F8" s="6"/>
      <c r="G8" s="6"/>
      <c r="H8" s="6"/>
      <c r="I8" s="8"/>
      <c r="J8" s="6"/>
      <c r="K8" s="6"/>
      <c r="L8" s="6"/>
      <c r="M8" s="6"/>
      <c r="N8" s="40"/>
      <c r="P8" s="2" t="s">
        <v>16</v>
      </c>
      <c r="Q8" s="69">
        <f>Q5-Q7</f>
        <v>8.9588235294117649</v>
      </c>
      <c r="S8" s="104" t="s">
        <v>90</v>
      </c>
      <c r="T8" s="104"/>
      <c r="U8" s="104"/>
      <c r="V8" s="104"/>
      <c r="W8" s="104"/>
    </row>
    <row r="9" spans="1:26" x14ac:dyDescent="0.2">
      <c r="A9" s="5" t="s">
        <v>17</v>
      </c>
      <c r="B9" s="10"/>
      <c r="C9" s="12"/>
      <c r="D9" s="6"/>
      <c r="E9" s="6"/>
      <c r="F9" s="6"/>
      <c r="G9" s="6"/>
      <c r="H9" s="6"/>
      <c r="I9" s="11"/>
      <c r="J9" s="11"/>
      <c r="K9" s="11"/>
      <c r="L9" s="11"/>
      <c r="M9" s="2"/>
      <c r="N9" s="41"/>
      <c r="P9" s="2" t="s">
        <v>18</v>
      </c>
      <c r="Q9" s="68">
        <f>W15</f>
        <v>143333.33333333334</v>
      </c>
      <c r="S9" s="2">
        <v>6</v>
      </c>
      <c r="T9" s="2">
        <v>5</v>
      </c>
      <c r="U9" s="2">
        <v>9</v>
      </c>
      <c r="V9" s="2">
        <v>5</v>
      </c>
      <c r="W9" s="104"/>
    </row>
    <row r="10" spans="1:26" x14ac:dyDescent="0.2">
      <c r="H10" s="1"/>
      <c r="P10" s="2" t="s">
        <v>19</v>
      </c>
      <c r="Q10" s="68">
        <f>Q9*0.2</f>
        <v>28666.666666666672</v>
      </c>
      <c r="S10" s="2">
        <v>12</v>
      </c>
      <c r="T10" s="2">
        <v>10</v>
      </c>
      <c r="U10" s="2">
        <v>7</v>
      </c>
      <c r="V10" s="2">
        <v>12</v>
      </c>
      <c r="W10" s="104"/>
    </row>
    <row r="11" spans="1:26" x14ac:dyDescent="0.2">
      <c r="S11" s="2">
        <v>7</v>
      </c>
      <c r="T11" s="2">
        <v>1</v>
      </c>
      <c r="U11" s="2">
        <v>7</v>
      </c>
      <c r="V11" s="2">
        <v>5</v>
      </c>
      <c r="W11" s="104"/>
    </row>
    <row r="12" spans="1:26" x14ac:dyDescent="0.2">
      <c r="S12" s="2"/>
      <c r="T12" s="2"/>
      <c r="U12" s="2"/>
      <c r="V12" s="2"/>
      <c r="W12" s="104"/>
    </row>
    <row r="13" spans="1:26" x14ac:dyDescent="0.2">
      <c r="S13" s="104" t="s">
        <v>92</v>
      </c>
      <c r="T13" s="104"/>
      <c r="U13" s="104"/>
      <c r="V13" s="104"/>
      <c r="W13" s="2">
        <f>AVERAGE(S9:V12)</f>
        <v>7.166666666666667</v>
      </c>
    </row>
    <row r="14" spans="1:26" x14ac:dyDescent="0.2">
      <c r="S14" s="104" t="s">
        <v>93</v>
      </c>
      <c r="T14" s="104"/>
      <c r="U14" s="104"/>
      <c r="V14" s="104"/>
      <c r="W14" s="2">
        <f>W13*2</f>
        <v>14.333333333333334</v>
      </c>
    </row>
    <row r="15" spans="1:26" x14ac:dyDescent="0.2">
      <c r="S15" s="104" t="s">
        <v>94</v>
      </c>
      <c r="T15" s="104"/>
      <c r="U15" s="104"/>
      <c r="V15" s="104"/>
      <c r="W15" s="9">
        <f>W14*10000</f>
        <v>143333.33333333334</v>
      </c>
    </row>
    <row r="17" spans="15:25" x14ac:dyDescent="0.2">
      <c r="P17" s="4" t="s">
        <v>27</v>
      </c>
      <c r="Q17" s="4" t="s">
        <v>28</v>
      </c>
    </row>
    <row r="18" spans="15:25" x14ac:dyDescent="0.2">
      <c r="P18" s="2" t="s">
        <v>30</v>
      </c>
      <c r="Q18" s="14">
        <v>5</v>
      </c>
    </row>
    <row r="19" spans="15:25" x14ac:dyDescent="0.2">
      <c r="P19" s="2" t="s">
        <v>32</v>
      </c>
      <c r="Q19" s="15">
        <f>Q10</f>
        <v>28666.666666666672</v>
      </c>
    </row>
    <row r="20" spans="15:25" x14ac:dyDescent="0.2">
      <c r="P20" s="2" t="s">
        <v>34</v>
      </c>
      <c r="Q20" s="14">
        <v>0.05</v>
      </c>
    </row>
    <row r="21" spans="15:25" ht="34" x14ac:dyDescent="0.2">
      <c r="P21" s="16" t="s">
        <v>37</v>
      </c>
      <c r="Q21" s="15">
        <f>(Q19*Q18/Q20)</f>
        <v>2866666.6666666674</v>
      </c>
      <c r="Y21" s="1"/>
    </row>
    <row r="22" spans="15:25" x14ac:dyDescent="0.2">
      <c r="P22" s="2" t="s">
        <v>39</v>
      </c>
      <c r="Q22" s="15">
        <v>5810000000</v>
      </c>
    </row>
    <row r="23" spans="15:25" x14ac:dyDescent="0.2">
      <c r="P23" s="2" t="s">
        <v>40</v>
      </c>
      <c r="Q23" s="17">
        <f>Q21/Q22</f>
        <v>4.9340218014916825E-4</v>
      </c>
    </row>
    <row r="24" spans="15:25" x14ac:dyDescent="0.2">
      <c r="P24" s="2" t="s">
        <v>41</v>
      </c>
      <c r="Q24" s="18">
        <v>0.05</v>
      </c>
    </row>
    <row r="25" spans="15:25" x14ac:dyDescent="0.2">
      <c r="P25" s="2" t="s">
        <v>42</v>
      </c>
      <c r="Q25" s="19">
        <f>Q24/100</f>
        <v>5.0000000000000001E-4</v>
      </c>
    </row>
    <row r="27" spans="15:25" x14ac:dyDescent="0.2">
      <c r="O27" s="2">
        <v>1</v>
      </c>
      <c r="P27" s="2" t="s">
        <v>3</v>
      </c>
      <c r="Q27" s="2" t="s">
        <v>3</v>
      </c>
    </row>
    <row r="28" spans="15:25" x14ac:dyDescent="0.2">
      <c r="O28" s="2">
        <v>2</v>
      </c>
      <c r="P28" s="2" t="s">
        <v>105</v>
      </c>
      <c r="Q28" s="71" t="s">
        <v>109</v>
      </c>
    </row>
    <row r="29" spans="15:25" x14ac:dyDescent="0.2">
      <c r="O29" s="2">
        <v>3</v>
      </c>
      <c r="P29" s="2" t="s">
        <v>106</v>
      </c>
      <c r="Q29" s="71" t="s">
        <v>110</v>
      </c>
    </row>
    <row r="30" spans="15:25" x14ac:dyDescent="0.2">
      <c r="O30" s="2">
        <v>4</v>
      </c>
      <c r="P30" s="2" t="s">
        <v>107</v>
      </c>
      <c r="Q30" s="71" t="s">
        <v>111</v>
      </c>
    </row>
    <row r="31" spans="15:25" x14ac:dyDescent="0.2">
      <c r="O31" s="2">
        <v>5</v>
      </c>
      <c r="P31" s="2" t="s">
        <v>108</v>
      </c>
      <c r="Q31" s="71" t="s">
        <v>112</v>
      </c>
    </row>
    <row r="32" spans="15:25" x14ac:dyDescent="0.2">
      <c r="O32" s="2">
        <v>6</v>
      </c>
      <c r="P32" s="2" t="s">
        <v>96</v>
      </c>
      <c r="Q32" s="71" t="s">
        <v>113</v>
      </c>
    </row>
  </sheetData>
  <mergeCells count="11">
    <mergeCell ref="S13:V13"/>
    <mergeCell ref="S14:V14"/>
    <mergeCell ref="S15:V15"/>
    <mergeCell ref="W2:W3"/>
    <mergeCell ref="W9:W12"/>
    <mergeCell ref="P1:Q1"/>
    <mergeCell ref="S1:W1"/>
    <mergeCell ref="S8:W8"/>
    <mergeCell ref="S4:V4"/>
    <mergeCell ref="S5:V5"/>
    <mergeCell ref="S6:V6"/>
  </mergeCells>
  <phoneticPr fontId="6" type="noConversion"/>
  <pageMargins left="0.25" right="0.25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A1:R19"/>
  <sheetViews>
    <sheetView topLeftCell="I1" workbookViewId="0">
      <selection activeCell="T11" sqref="T11"/>
    </sheetView>
  </sheetViews>
  <sheetFormatPr baseColWidth="10" defaultColWidth="10.6640625" defaultRowHeight="16" x14ac:dyDescent="0.2"/>
  <cols>
    <col min="1" max="1" width="10" bestFit="1" customWidth="1"/>
    <col min="2" max="2" width="27.1640625" bestFit="1" customWidth="1"/>
    <col min="3" max="3" width="18.33203125" bestFit="1" customWidth="1"/>
    <col min="4" max="4" width="11.1640625" customWidth="1"/>
    <col min="5" max="5" width="13" customWidth="1"/>
    <col min="6" max="6" width="10.1640625" customWidth="1"/>
    <col min="7" max="7" width="14.83203125" customWidth="1"/>
    <col min="12" max="12" width="5.5" bestFit="1" customWidth="1"/>
    <col min="13" max="13" width="11.1640625" bestFit="1" customWidth="1"/>
    <col min="14" max="14" width="10.1640625" bestFit="1" customWidth="1"/>
    <col min="15" max="15" width="9.5" bestFit="1" customWidth="1"/>
    <col min="16" max="16" width="4.83203125" bestFit="1" customWidth="1"/>
    <col min="17" max="17" width="6.5" bestFit="1" customWidth="1"/>
    <col min="18" max="18" width="9" bestFit="1" customWidth="1"/>
  </cols>
  <sheetData>
    <row r="1" spans="1:18" ht="46" customHeight="1" x14ac:dyDescent="0.25">
      <c r="A1" s="61"/>
      <c r="B1" s="61"/>
      <c r="C1" s="61"/>
      <c r="D1" s="75" t="s">
        <v>117</v>
      </c>
      <c r="E1" s="74"/>
      <c r="F1" s="61"/>
      <c r="G1" s="61"/>
    </row>
    <row r="2" spans="1:18" ht="110" x14ac:dyDescent="0.2">
      <c r="A2" s="62" t="s">
        <v>44</v>
      </c>
      <c r="B2" s="62" t="s">
        <v>45</v>
      </c>
      <c r="C2" s="63" t="s">
        <v>46</v>
      </c>
      <c r="D2" s="63" t="s">
        <v>47</v>
      </c>
      <c r="E2" s="63" t="s">
        <v>49</v>
      </c>
      <c r="F2" s="63" t="s">
        <v>118</v>
      </c>
      <c r="G2" s="63" t="s">
        <v>119</v>
      </c>
    </row>
    <row r="3" spans="1:18" ht="21" x14ac:dyDescent="0.25">
      <c r="A3" s="62">
        <v>1</v>
      </c>
      <c r="B3" s="64" t="s">
        <v>3</v>
      </c>
      <c r="C3" s="64">
        <v>1.1599999999999999</v>
      </c>
      <c r="D3" s="65">
        <f>1300*0.05/C3</f>
        <v>56.03448275862069</v>
      </c>
      <c r="E3" s="64">
        <v>5.3999999999999999E-2</v>
      </c>
      <c r="F3" s="73">
        <v>30</v>
      </c>
      <c r="G3" s="66">
        <v>2.97</v>
      </c>
    </row>
    <row r="4" spans="1:18" ht="21" x14ac:dyDescent="0.25">
      <c r="A4" s="62">
        <v>2</v>
      </c>
      <c r="B4" s="64" t="s">
        <v>105</v>
      </c>
      <c r="C4" s="64">
        <v>2.37</v>
      </c>
      <c r="D4" s="65">
        <f t="shared" ref="D4:D8" si="0">1300*0.05/C4</f>
        <v>27.426160337552741</v>
      </c>
      <c r="E4" s="64">
        <v>5.2999999999999999E-2</v>
      </c>
      <c r="F4" s="73">
        <v>30</v>
      </c>
      <c r="G4" s="66">
        <v>2.97</v>
      </c>
    </row>
    <row r="5" spans="1:18" ht="21" x14ac:dyDescent="0.25">
      <c r="A5" s="62">
        <v>3</v>
      </c>
      <c r="B5" s="64" t="s">
        <v>106</v>
      </c>
      <c r="C5" s="64">
        <v>2.48</v>
      </c>
      <c r="D5" s="65">
        <f t="shared" si="0"/>
        <v>26.20967741935484</v>
      </c>
      <c r="E5" s="64">
        <v>5.3999999999999999E-2</v>
      </c>
      <c r="F5" s="73">
        <v>30</v>
      </c>
      <c r="G5" s="66">
        <v>2.97</v>
      </c>
    </row>
    <row r="6" spans="1:18" ht="21" x14ac:dyDescent="0.25">
      <c r="A6" s="62">
        <v>4</v>
      </c>
      <c r="B6" s="64" t="s">
        <v>107</v>
      </c>
      <c r="C6" s="67">
        <v>2.42</v>
      </c>
      <c r="D6" s="65">
        <f t="shared" si="0"/>
        <v>26.859504132231407</v>
      </c>
      <c r="E6" s="64">
        <v>5.2999999999999999E-2</v>
      </c>
      <c r="F6" s="73">
        <v>30</v>
      </c>
      <c r="G6" s="66">
        <v>2.97</v>
      </c>
    </row>
    <row r="7" spans="1:18" ht="21" x14ac:dyDescent="0.25">
      <c r="A7" s="62">
        <v>5</v>
      </c>
      <c r="B7" s="64" t="s">
        <v>108</v>
      </c>
      <c r="C7" s="67">
        <v>2.04</v>
      </c>
      <c r="D7" s="65">
        <f t="shared" si="0"/>
        <v>31.862745098039216</v>
      </c>
      <c r="E7" s="64">
        <v>5.3999999999999999E-2</v>
      </c>
      <c r="F7" s="73">
        <v>30</v>
      </c>
      <c r="G7" s="66">
        <v>2.97</v>
      </c>
    </row>
    <row r="8" spans="1:18" ht="21" x14ac:dyDescent="0.25">
      <c r="A8" s="62">
        <v>6</v>
      </c>
      <c r="B8" s="64" t="s">
        <v>96</v>
      </c>
      <c r="C8" s="67">
        <v>1.25</v>
      </c>
      <c r="D8" s="65">
        <f t="shared" si="0"/>
        <v>52</v>
      </c>
      <c r="E8" s="64">
        <v>5.2999999999999999E-2</v>
      </c>
      <c r="F8" s="73">
        <v>30</v>
      </c>
      <c r="G8" s="66">
        <v>2.97</v>
      </c>
    </row>
    <row r="12" spans="1:18" ht="25" x14ac:dyDescent="0.2">
      <c r="L12" s="76"/>
      <c r="M12" s="76"/>
      <c r="N12" s="76"/>
      <c r="O12" s="77" t="s">
        <v>117</v>
      </c>
      <c r="Q12" s="105" t="s">
        <v>120</v>
      </c>
      <c r="R12" s="105"/>
    </row>
    <row r="13" spans="1:18" ht="24" x14ac:dyDescent="0.2">
      <c r="L13" s="78" t="s">
        <v>44</v>
      </c>
      <c r="M13" s="78" t="s">
        <v>45</v>
      </c>
      <c r="N13" s="79" t="s">
        <v>46</v>
      </c>
      <c r="O13" s="79" t="s">
        <v>47</v>
      </c>
      <c r="P13" s="79" t="s">
        <v>49</v>
      </c>
      <c r="Q13" s="79" t="s">
        <v>47</v>
      </c>
      <c r="R13" s="79" t="s">
        <v>119</v>
      </c>
    </row>
    <row r="14" spans="1:18" x14ac:dyDescent="0.2">
      <c r="L14" s="78">
        <v>1</v>
      </c>
      <c r="M14" s="80" t="s">
        <v>3</v>
      </c>
      <c r="N14" s="80">
        <v>1.1599999999999999</v>
      </c>
      <c r="O14" s="81">
        <f>1300*0.05/N14</f>
        <v>56.03448275862069</v>
      </c>
      <c r="P14" s="80">
        <v>5.3999999999999999E-2</v>
      </c>
      <c r="Q14" s="82">
        <v>30</v>
      </c>
      <c r="R14" s="83">
        <v>2.97</v>
      </c>
    </row>
    <row r="15" spans="1:18" x14ac:dyDescent="0.2">
      <c r="L15" s="78">
        <v>2</v>
      </c>
      <c r="M15" s="80" t="s">
        <v>105</v>
      </c>
      <c r="N15" s="80">
        <v>2.37</v>
      </c>
      <c r="O15" s="81">
        <f t="shared" ref="O15:O19" si="1">1300*0.05/N15</f>
        <v>27.426160337552741</v>
      </c>
      <c r="P15" s="80">
        <v>5.2999999999999999E-2</v>
      </c>
      <c r="Q15" s="82">
        <v>30</v>
      </c>
      <c r="R15" s="83">
        <v>2.97</v>
      </c>
    </row>
    <row r="16" spans="1:18" x14ac:dyDescent="0.2">
      <c r="L16" s="78">
        <v>3</v>
      </c>
      <c r="M16" s="80" t="s">
        <v>106</v>
      </c>
      <c r="N16" s="80">
        <v>2.48</v>
      </c>
      <c r="O16" s="81">
        <f t="shared" si="1"/>
        <v>26.20967741935484</v>
      </c>
      <c r="P16" s="80">
        <v>5.3999999999999999E-2</v>
      </c>
      <c r="Q16" s="82">
        <v>30</v>
      </c>
      <c r="R16" s="83">
        <v>2.97</v>
      </c>
    </row>
    <row r="17" spans="12:18" x14ac:dyDescent="0.2">
      <c r="L17" s="78">
        <v>4</v>
      </c>
      <c r="M17" s="80" t="s">
        <v>107</v>
      </c>
      <c r="N17" s="84">
        <v>2.42</v>
      </c>
      <c r="O17" s="81">
        <f t="shared" si="1"/>
        <v>26.859504132231407</v>
      </c>
      <c r="P17" s="80">
        <v>5.2999999999999999E-2</v>
      </c>
      <c r="Q17" s="82">
        <v>30</v>
      </c>
      <c r="R17" s="83">
        <v>2.97</v>
      </c>
    </row>
    <row r="18" spans="12:18" x14ac:dyDescent="0.2">
      <c r="L18" s="78">
        <v>5</v>
      </c>
      <c r="M18" s="80" t="s">
        <v>108</v>
      </c>
      <c r="N18" s="84">
        <v>2.04</v>
      </c>
      <c r="O18" s="81">
        <f t="shared" si="1"/>
        <v>31.862745098039216</v>
      </c>
      <c r="P18" s="80">
        <v>5.3999999999999999E-2</v>
      </c>
      <c r="Q18" s="82">
        <v>30</v>
      </c>
      <c r="R18" s="83">
        <v>2.97</v>
      </c>
    </row>
    <row r="19" spans="12:18" x14ac:dyDescent="0.2">
      <c r="L19" s="78">
        <v>6</v>
      </c>
      <c r="M19" s="80" t="s">
        <v>96</v>
      </c>
      <c r="N19" s="84">
        <v>1.25</v>
      </c>
      <c r="O19" s="81">
        <f t="shared" si="1"/>
        <v>52</v>
      </c>
      <c r="P19" s="80">
        <v>5.2999999999999999E-2</v>
      </c>
      <c r="Q19" s="82">
        <v>30</v>
      </c>
      <c r="R19" s="83">
        <v>2.97</v>
      </c>
    </row>
  </sheetData>
  <mergeCells count="1">
    <mergeCell ref="Q12:R12"/>
  </mergeCells>
  <pageMargins left="0.25" right="0.25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O24"/>
  <sheetViews>
    <sheetView showRuler="0" workbookViewId="0">
      <selection activeCell="M3" sqref="M3:M13"/>
    </sheetView>
  </sheetViews>
  <sheetFormatPr baseColWidth="10" defaultColWidth="10.6640625" defaultRowHeight="16" x14ac:dyDescent="0.2"/>
  <cols>
    <col min="1" max="1" width="20.83203125" bestFit="1" customWidth="1"/>
    <col min="2" max="2" width="9" bestFit="1" customWidth="1"/>
    <col min="3" max="3" width="9" customWidth="1"/>
    <col min="4" max="4" width="8.6640625" customWidth="1"/>
    <col min="5" max="6" width="6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2">
      <c r="A1" s="24" t="s">
        <v>54</v>
      </c>
      <c r="B1" s="25"/>
      <c r="C1" s="57"/>
      <c r="D1" s="107"/>
      <c r="E1" s="107"/>
      <c r="F1" s="107"/>
    </row>
    <row r="2" spans="1:15" ht="51" x14ac:dyDescent="0.2">
      <c r="A2" s="24"/>
      <c r="B2" s="26" t="s">
        <v>55</v>
      </c>
      <c r="C2" s="24">
        <v>1</v>
      </c>
      <c r="D2" s="24">
        <v>2</v>
      </c>
      <c r="E2" s="24">
        <v>3</v>
      </c>
      <c r="F2" s="27">
        <v>4</v>
      </c>
      <c r="G2" s="28" t="s">
        <v>56</v>
      </c>
      <c r="H2" s="28" t="s">
        <v>57</v>
      </c>
      <c r="I2" s="28" t="s">
        <v>58</v>
      </c>
      <c r="J2" s="28" t="s">
        <v>59</v>
      </c>
      <c r="K2" s="28" t="s">
        <v>60</v>
      </c>
      <c r="L2" s="28" t="s">
        <v>59</v>
      </c>
      <c r="M2" s="29" t="s">
        <v>61</v>
      </c>
    </row>
    <row r="3" spans="1:15" x14ac:dyDescent="0.2">
      <c r="A3" s="108" t="s">
        <v>3</v>
      </c>
      <c r="B3" s="11" t="s">
        <v>62</v>
      </c>
      <c r="C3" s="14">
        <v>1</v>
      </c>
      <c r="D3" s="14"/>
      <c r="E3" s="14"/>
      <c r="F3" s="35"/>
      <c r="G3" s="14">
        <v>1</v>
      </c>
      <c r="H3" s="15">
        <f>C3/(G3*0.01)</f>
        <v>100</v>
      </c>
      <c r="I3" s="9">
        <f>AVERAGE(H3:H4)</f>
        <v>150</v>
      </c>
      <c r="J3" s="9">
        <f>STDEV(H3:H4)</f>
        <v>70.710678118654755</v>
      </c>
      <c r="K3" s="9">
        <f>I3*0.05</f>
        <v>7.5</v>
      </c>
      <c r="L3" s="9">
        <f>J3*0.05</f>
        <v>3.5355339059327378</v>
      </c>
      <c r="M3" s="13">
        <f>K3/$O$3</f>
        <v>2.6132404181184669E-4</v>
      </c>
      <c r="O3" s="1">
        <v>28700</v>
      </c>
    </row>
    <row r="4" spans="1:15" x14ac:dyDescent="0.2">
      <c r="A4" s="108"/>
      <c r="B4" s="11" t="s">
        <v>64</v>
      </c>
      <c r="C4" s="14">
        <v>2</v>
      </c>
      <c r="D4" s="14"/>
      <c r="E4" s="14"/>
      <c r="F4" s="35"/>
      <c r="G4" s="14">
        <v>1</v>
      </c>
      <c r="H4" s="15">
        <f>C4/(G4*0.01)</f>
        <v>200</v>
      </c>
      <c r="I4" s="9"/>
      <c r="J4" s="9"/>
      <c r="K4" s="9"/>
      <c r="L4" s="9"/>
      <c r="M4" s="13"/>
      <c r="O4" s="1"/>
    </row>
    <row r="5" spans="1:15" x14ac:dyDescent="0.2">
      <c r="A5" s="106" t="s">
        <v>121</v>
      </c>
      <c r="B5" s="58" t="s">
        <v>65</v>
      </c>
      <c r="C5" s="14" t="s">
        <v>63</v>
      </c>
      <c r="D5" s="14" t="s">
        <v>63</v>
      </c>
      <c r="E5" s="14" t="s">
        <v>63</v>
      </c>
      <c r="F5" s="14">
        <v>47</v>
      </c>
      <c r="G5" s="14">
        <v>1E-3</v>
      </c>
      <c r="H5" s="15">
        <f>F5/(G5*0.01)</f>
        <v>4700000</v>
      </c>
      <c r="I5" s="9">
        <f>AVERAGE(H5:H6)</f>
        <v>4200000</v>
      </c>
      <c r="J5" s="9">
        <f>STDEV(H5:H6)</f>
        <v>707106.78118654748</v>
      </c>
      <c r="K5" s="9">
        <f>I5*0.05</f>
        <v>210000</v>
      </c>
      <c r="L5" s="9">
        <f>J5*0.05</f>
        <v>35355.339059327373</v>
      </c>
      <c r="M5" s="13">
        <f>K5/$O$3</f>
        <v>7.3170731707317076</v>
      </c>
    </row>
    <row r="6" spans="1:15" x14ac:dyDescent="0.2">
      <c r="A6" s="106"/>
      <c r="B6" s="58" t="s">
        <v>66</v>
      </c>
      <c r="C6" s="14" t="s">
        <v>63</v>
      </c>
      <c r="D6" s="14" t="s">
        <v>63</v>
      </c>
      <c r="E6" s="14" t="s">
        <v>63</v>
      </c>
      <c r="F6" s="14">
        <v>37</v>
      </c>
      <c r="G6" s="14">
        <v>1E-3</v>
      </c>
      <c r="H6" s="15">
        <f t="shared" ref="H6:H12" si="0">F6/(G6*0.01)</f>
        <v>3699999.9999999995</v>
      </c>
      <c r="I6" s="22"/>
      <c r="J6" s="22"/>
      <c r="K6" s="9"/>
      <c r="L6" s="9"/>
      <c r="M6" s="13"/>
    </row>
    <row r="7" spans="1:15" ht="16" customHeight="1" x14ac:dyDescent="0.2">
      <c r="A7" s="106" t="s">
        <v>123</v>
      </c>
      <c r="B7" s="58" t="s">
        <v>67</v>
      </c>
      <c r="C7" s="14" t="s">
        <v>63</v>
      </c>
      <c r="D7" s="14" t="s">
        <v>63</v>
      </c>
      <c r="E7" s="14" t="s">
        <v>63</v>
      </c>
      <c r="F7" s="14">
        <v>29</v>
      </c>
      <c r="G7" s="14">
        <v>1E-3</v>
      </c>
      <c r="H7" s="15">
        <f t="shared" si="0"/>
        <v>2899999.9999999995</v>
      </c>
      <c r="I7" s="9">
        <f>AVERAGE(H7:H8)</f>
        <v>2750000</v>
      </c>
      <c r="J7" s="9">
        <f>STDEV(H7:H8)</f>
        <v>212132.03435596393</v>
      </c>
      <c r="K7" s="9">
        <f>I7*0.05</f>
        <v>137500</v>
      </c>
      <c r="L7" s="9">
        <f>J7*0.05</f>
        <v>10606.601717798198</v>
      </c>
      <c r="M7" s="13">
        <f>K7/$O$3</f>
        <v>4.7909407665505226</v>
      </c>
    </row>
    <row r="8" spans="1:15" x14ac:dyDescent="0.2">
      <c r="A8" s="106"/>
      <c r="B8" s="58" t="s">
        <v>68</v>
      </c>
      <c r="C8" s="14" t="s">
        <v>63</v>
      </c>
      <c r="D8" s="14" t="s">
        <v>63</v>
      </c>
      <c r="E8" s="14" t="s">
        <v>63</v>
      </c>
      <c r="F8" s="14">
        <v>26</v>
      </c>
      <c r="G8" s="14">
        <v>1E-3</v>
      </c>
      <c r="H8" s="15">
        <f t="shared" si="0"/>
        <v>2600000</v>
      </c>
      <c r="I8" s="22"/>
      <c r="J8" s="22"/>
      <c r="K8" s="9"/>
      <c r="L8" s="9"/>
      <c r="M8" s="13"/>
    </row>
    <row r="9" spans="1:15" ht="16" customHeight="1" x14ac:dyDescent="0.2">
      <c r="A9" s="106" t="s">
        <v>122</v>
      </c>
      <c r="B9" s="58" t="s">
        <v>98</v>
      </c>
      <c r="C9" s="14" t="s">
        <v>63</v>
      </c>
      <c r="D9" s="14" t="s">
        <v>63</v>
      </c>
      <c r="E9" s="14" t="s">
        <v>63</v>
      </c>
      <c r="F9" s="14">
        <v>29</v>
      </c>
      <c r="G9" s="14">
        <v>1E-3</v>
      </c>
      <c r="H9" s="15">
        <f t="shared" si="0"/>
        <v>2899999.9999999995</v>
      </c>
      <c r="I9" s="9">
        <f>AVERAGE(H9:H10)</f>
        <v>3149999.9999999995</v>
      </c>
      <c r="J9" s="9">
        <f>STDEV(H9:H10)</f>
        <v>353553.39059327374</v>
      </c>
      <c r="K9" s="9">
        <f>I9*0.05</f>
        <v>157500</v>
      </c>
      <c r="L9" s="9">
        <f>J9*0.05</f>
        <v>17677.669529663686</v>
      </c>
      <c r="M9" s="13">
        <f>K9/$O$3</f>
        <v>5.4878048780487809</v>
      </c>
    </row>
    <row r="10" spans="1:15" x14ac:dyDescent="0.2">
      <c r="A10" s="106"/>
      <c r="B10" s="58" t="s">
        <v>99</v>
      </c>
      <c r="C10" s="14" t="s">
        <v>63</v>
      </c>
      <c r="D10" s="14" t="s">
        <v>63</v>
      </c>
      <c r="E10" s="14" t="s">
        <v>63</v>
      </c>
      <c r="F10" s="14">
        <v>34</v>
      </c>
      <c r="G10" s="14">
        <v>1E-3</v>
      </c>
      <c r="H10" s="15">
        <f t="shared" si="0"/>
        <v>3399999.9999999995</v>
      </c>
      <c r="I10" s="22"/>
      <c r="J10" s="22"/>
      <c r="K10" s="9"/>
      <c r="L10" s="9"/>
      <c r="M10" s="13"/>
    </row>
    <row r="11" spans="1:15" ht="16" customHeight="1" x14ac:dyDescent="0.2">
      <c r="A11" s="106" t="s">
        <v>122</v>
      </c>
      <c r="B11" s="58" t="s">
        <v>125</v>
      </c>
      <c r="C11" s="14" t="s">
        <v>63</v>
      </c>
      <c r="D11" s="14" t="s">
        <v>63</v>
      </c>
      <c r="E11" s="14" t="s">
        <v>63</v>
      </c>
      <c r="F11" s="14">
        <v>51</v>
      </c>
      <c r="G11" s="14">
        <v>1E-3</v>
      </c>
      <c r="H11" s="15">
        <f t="shared" si="0"/>
        <v>5100000</v>
      </c>
      <c r="I11" s="9">
        <f>AVERAGE(H11:H12)</f>
        <v>5000000</v>
      </c>
      <c r="J11" s="9">
        <f>STDEV(H11:H12)</f>
        <v>141421.35623730952</v>
      </c>
      <c r="K11" s="9">
        <f>I11*0.05</f>
        <v>250000</v>
      </c>
      <c r="L11" s="9">
        <f>J11*0.05</f>
        <v>7071.067811865476</v>
      </c>
      <c r="M11" s="70">
        <f>K11/$O$3</f>
        <v>8.7108013937282234</v>
      </c>
    </row>
    <row r="12" spans="1:15" x14ac:dyDescent="0.2">
      <c r="A12" s="106"/>
      <c r="B12" s="58" t="s">
        <v>126</v>
      </c>
      <c r="C12" s="14" t="s">
        <v>63</v>
      </c>
      <c r="D12" s="14" t="s">
        <v>63</v>
      </c>
      <c r="E12" s="14" t="s">
        <v>63</v>
      </c>
      <c r="F12" s="60">
        <v>49</v>
      </c>
      <c r="G12" s="14">
        <v>1E-3</v>
      </c>
      <c r="H12" s="15">
        <f t="shared" si="0"/>
        <v>4900000</v>
      </c>
      <c r="I12" s="22"/>
      <c r="J12" s="22"/>
      <c r="K12" s="9"/>
      <c r="L12" s="9"/>
      <c r="M12" s="13"/>
    </row>
    <row r="13" spans="1:15" ht="16" customHeight="1" x14ac:dyDescent="0.2">
      <c r="A13" s="106" t="s">
        <v>124</v>
      </c>
      <c r="B13" s="58" t="s">
        <v>127</v>
      </c>
      <c r="C13" s="14">
        <v>16</v>
      </c>
      <c r="D13" s="14"/>
      <c r="E13" s="14"/>
      <c r="F13" s="60"/>
      <c r="G13" s="14">
        <v>1</v>
      </c>
      <c r="H13" s="15">
        <f>C13/(G13*0.01)</f>
        <v>1600</v>
      </c>
      <c r="I13" s="9">
        <f>AVERAGE(H13:H14)</f>
        <v>1100</v>
      </c>
      <c r="J13" s="9">
        <f>STDEV(H13:H14)</f>
        <v>707.10678118654755</v>
      </c>
      <c r="K13" s="9">
        <f>I13*0.05</f>
        <v>55</v>
      </c>
      <c r="L13" s="9">
        <f>J13*0.05</f>
        <v>35.355339059327378</v>
      </c>
      <c r="M13" s="13">
        <f>K13/$O$3</f>
        <v>1.9163763066202091E-3</v>
      </c>
    </row>
    <row r="14" spans="1:15" x14ac:dyDescent="0.2">
      <c r="A14" s="106"/>
      <c r="B14" s="58" t="s">
        <v>128</v>
      </c>
      <c r="C14" s="14">
        <v>6</v>
      </c>
      <c r="D14" s="14"/>
      <c r="E14" s="14"/>
      <c r="F14" s="60"/>
      <c r="G14" s="14">
        <v>1</v>
      </c>
      <c r="H14" s="15">
        <f>C14/(G14*0.01)</f>
        <v>600</v>
      </c>
      <c r="I14" s="22"/>
      <c r="J14" s="22"/>
      <c r="K14" s="9"/>
      <c r="L14" s="9"/>
      <c r="M14" s="13"/>
    </row>
    <row r="15" spans="1:15" x14ac:dyDescent="0.2">
      <c r="A15" s="2" t="s">
        <v>69</v>
      </c>
      <c r="B15" s="2"/>
      <c r="C15" s="2">
        <v>1</v>
      </c>
      <c r="D15" s="2">
        <v>0.1</v>
      </c>
      <c r="E15" s="2">
        <f>D15/10</f>
        <v>0.01</v>
      </c>
      <c r="F15" s="2">
        <f>E15/10</f>
        <v>1E-3</v>
      </c>
      <c r="G15" s="14"/>
    </row>
    <row r="18" spans="1:3" x14ac:dyDescent="0.2">
      <c r="A18" s="2" t="s">
        <v>45</v>
      </c>
      <c r="B18" s="2" t="s">
        <v>60</v>
      </c>
      <c r="C18" s="2" t="s">
        <v>59</v>
      </c>
    </row>
    <row r="19" spans="1:3" x14ac:dyDescent="0.2">
      <c r="A19" s="2" t="s">
        <v>3</v>
      </c>
      <c r="B19" s="9">
        <f>K3</f>
        <v>7.5</v>
      </c>
      <c r="C19" s="9">
        <f>L3</f>
        <v>3.5355339059327378</v>
      </c>
    </row>
    <row r="20" spans="1:3" ht="16" customHeight="1" x14ac:dyDescent="0.2">
      <c r="A20" s="2" t="s">
        <v>129</v>
      </c>
      <c r="B20" s="9">
        <f>K5</f>
        <v>210000</v>
      </c>
      <c r="C20" s="9">
        <f>L5</f>
        <v>35355.339059327373</v>
      </c>
    </row>
    <row r="21" spans="1:3" x14ac:dyDescent="0.2">
      <c r="A21" s="2" t="s">
        <v>130</v>
      </c>
      <c r="B21" s="9">
        <f>K7</f>
        <v>137500</v>
      </c>
      <c r="C21" s="9">
        <f>L7</f>
        <v>10606.601717798198</v>
      </c>
    </row>
    <row r="22" spans="1:3" x14ac:dyDescent="0.2">
      <c r="A22" s="2" t="s">
        <v>131</v>
      </c>
      <c r="B22" s="9">
        <f>K9</f>
        <v>157500</v>
      </c>
      <c r="C22" s="9">
        <f>L9</f>
        <v>17677.669529663686</v>
      </c>
    </row>
    <row r="23" spans="1:3" x14ac:dyDescent="0.2">
      <c r="A23" s="2" t="s">
        <v>132</v>
      </c>
      <c r="B23" s="9">
        <f>K11</f>
        <v>250000</v>
      </c>
      <c r="C23" s="9">
        <f>L11</f>
        <v>7071.067811865476</v>
      </c>
    </row>
    <row r="24" spans="1:3" x14ac:dyDescent="0.2">
      <c r="A24" s="2" t="s">
        <v>133</v>
      </c>
      <c r="B24" s="9">
        <f>K13</f>
        <v>55</v>
      </c>
      <c r="C24" s="9">
        <f>L13</f>
        <v>35.355339059327378</v>
      </c>
    </row>
  </sheetData>
  <mergeCells count="7">
    <mergeCell ref="A11:A12"/>
    <mergeCell ref="A13:A14"/>
    <mergeCell ref="D1:F1"/>
    <mergeCell ref="A3:A4"/>
    <mergeCell ref="A9:A10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Z37"/>
  <sheetViews>
    <sheetView showRuler="0" zoomScale="110" zoomScaleNormal="110" workbookViewId="0">
      <selection activeCell="J2" sqref="J2:P8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8.33203125" bestFit="1" customWidth="1"/>
    <col min="7" max="7" width="8.83203125" bestFit="1" customWidth="1"/>
    <col min="8" max="8" width="8.1640625" customWidth="1"/>
    <col min="10" max="10" width="2.1640625" bestFit="1" customWidth="1"/>
    <col min="11" max="11" width="20.83203125" customWidth="1"/>
    <col min="12" max="13" width="8.83203125" bestFit="1" customWidth="1"/>
    <col min="14" max="14" width="7.6640625" bestFit="1" customWidth="1"/>
    <col min="15" max="15" width="7.5" bestFit="1" customWidth="1"/>
    <col min="16" max="16" width="7.33203125" bestFit="1" customWidth="1"/>
  </cols>
  <sheetData>
    <row r="1" spans="1:26" x14ac:dyDescent="0.2">
      <c r="A1" s="4"/>
      <c r="B1" s="4"/>
      <c r="E1" s="4"/>
      <c r="F1" s="4"/>
      <c r="G1" s="25"/>
      <c r="H1" s="25"/>
      <c r="I1" s="25"/>
      <c r="J1" s="45"/>
      <c r="K1" s="31"/>
      <c r="L1" s="31"/>
      <c r="M1" s="32"/>
      <c r="N1" s="32"/>
    </row>
    <row r="2" spans="1:26" ht="51" x14ac:dyDescent="0.2">
      <c r="A2" s="24"/>
      <c r="B2" s="33" t="s">
        <v>70</v>
      </c>
      <c r="C2" s="33" t="s">
        <v>71</v>
      </c>
      <c r="D2" s="33" t="s">
        <v>72</v>
      </c>
      <c r="E2" s="29" t="s">
        <v>56</v>
      </c>
      <c r="F2" s="29" t="s">
        <v>73</v>
      </c>
      <c r="G2" s="29" t="s">
        <v>74</v>
      </c>
      <c r="H2" s="29" t="s">
        <v>75</v>
      </c>
      <c r="J2" s="30" t="s">
        <v>95</v>
      </c>
      <c r="K2" s="2"/>
      <c r="L2" s="28" t="s">
        <v>76</v>
      </c>
      <c r="M2" s="24" t="s">
        <v>77</v>
      </c>
      <c r="N2" s="34" t="s">
        <v>78</v>
      </c>
      <c r="O2" s="33" t="s">
        <v>75</v>
      </c>
      <c r="P2" s="29" t="s">
        <v>79</v>
      </c>
    </row>
    <row r="3" spans="1:26" x14ac:dyDescent="0.2">
      <c r="A3" s="111" t="s">
        <v>3</v>
      </c>
      <c r="B3" s="88" t="s">
        <v>62</v>
      </c>
      <c r="C3" s="87">
        <v>0</v>
      </c>
      <c r="D3" s="87">
        <v>0</v>
      </c>
      <c r="E3" s="89">
        <v>1</v>
      </c>
      <c r="F3" s="90">
        <f t="shared" ref="F3:F17" si="0">AVERAGE(C3,D3)</f>
        <v>0</v>
      </c>
      <c r="G3" s="91">
        <f>(F3/(0.05*E3))*0.2</f>
        <v>0</v>
      </c>
      <c r="H3" s="110"/>
      <c r="I3" s="1"/>
      <c r="J3" s="93">
        <v>1</v>
      </c>
      <c r="K3" s="92" t="s">
        <v>3</v>
      </c>
      <c r="L3" s="91">
        <f>AVERAGE(G3:G5)</f>
        <v>0</v>
      </c>
      <c r="M3" s="91">
        <f>STDEV(G3:G5)</f>
        <v>0</v>
      </c>
      <c r="N3" s="94">
        <v>2.6132404181184669E-4</v>
      </c>
      <c r="O3" s="95"/>
      <c r="P3" s="96"/>
      <c r="Q3" s="39"/>
      <c r="S3" s="1"/>
      <c r="U3" s="1"/>
      <c r="V3" s="1"/>
      <c r="W3" s="1"/>
      <c r="X3" s="1"/>
      <c r="Y3" s="1"/>
      <c r="Z3" s="1"/>
    </row>
    <row r="4" spans="1:26" x14ac:dyDescent="0.2">
      <c r="A4" s="111"/>
      <c r="B4" s="88" t="s">
        <v>64</v>
      </c>
      <c r="C4" s="87">
        <v>0</v>
      </c>
      <c r="D4" s="87">
        <v>0</v>
      </c>
      <c r="E4" s="89">
        <v>1</v>
      </c>
      <c r="F4" s="90">
        <f t="shared" si="0"/>
        <v>0</v>
      </c>
      <c r="G4" s="91">
        <f t="shared" ref="G4:G17" si="1">(F4/(0.05*E4))*0.2</f>
        <v>0</v>
      </c>
      <c r="H4" s="110"/>
      <c r="J4" s="30">
        <v>2</v>
      </c>
      <c r="K4" s="2" t="s">
        <v>129</v>
      </c>
      <c r="L4" s="9">
        <f>AVERAGE(G6:G8)</f>
        <v>191.33333333333334</v>
      </c>
      <c r="M4" s="9">
        <f>STDEV(G6:G8)</f>
        <v>88.911941455202381</v>
      </c>
      <c r="N4" s="13">
        <v>7.3170731707317076</v>
      </c>
      <c r="O4" s="86">
        <f>H6</f>
        <v>1</v>
      </c>
      <c r="P4" s="23">
        <f>IF(L4/$L$4&gt;=1,L4/$L$4,-$L$4/L4)</f>
        <v>1</v>
      </c>
      <c r="Q4" s="39"/>
    </row>
    <row r="5" spans="1:26" x14ac:dyDescent="0.2">
      <c r="A5" s="111"/>
      <c r="B5" s="88" t="s">
        <v>80</v>
      </c>
      <c r="C5" s="87">
        <v>0</v>
      </c>
      <c r="D5" s="87">
        <v>0</v>
      </c>
      <c r="E5" s="89">
        <v>1</v>
      </c>
      <c r="F5" s="90">
        <f t="shared" si="0"/>
        <v>0</v>
      </c>
      <c r="G5" s="91">
        <f t="shared" si="1"/>
        <v>0</v>
      </c>
      <c r="H5" s="110"/>
      <c r="J5" s="30">
        <v>3</v>
      </c>
      <c r="K5" s="2" t="s">
        <v>130</v>
      </c>
      <c r="L5" s="9">
        <f>AVERAGE(G9:G11)</f>
        <v>214.66666666666666</v>
      </c>
      <c r="M5" s="9">
        <f>STDEV(G9:G11)</f>
        <v>61.849279165834488</v>
      </c>
      <c r="N5" s="13">
        <v>4.7909407665505226</v>
      </c>
      <c r="O5" s="86">
        <f>H9</f>
        <v>0.72797420089836207</v>
      </c>
      <c r="P5" s="23">
        <f>IF(L5/$L$4&gt;=1,L5/$L$4,-$L$4/L5)</f>
        <v>1.121951219512195</v>
      </c>
      <c r="Q5" s="39"/>
    </row>
    <row r="6" spans="1:26" ht="15" customHeight="1" x14ac:dyDescent="0.2">
      <c r="A6" s="106" t="s">
        <v>136</v>
      </c>
      <c r="B6" s="11" t="s">
        <v>65</v>
      </c>
      <c r="C6" s="35">
        <v>69</v>
      </c>
      <c r="D6" s="35">
        <v>67</v>
      </c>
      <c r="E6" s="14">
        <v>1</v>
      </c>
      <c r="F6" s="2">
        <f t="shared" si="0"/>
        <v>68</v>
      </c>
      <c r="G6" s="9">
        <f t="shared" si="1"/>
        <v>272</v>
      </c>
      <c r="H6" s="112">
        <f>TTEST(G6:G8,G$6:G$8,2,2)</f>
        <v>1</v>
      </c>
      <c r="J6" s="30">
        <v>4</v>
      </c>
      <c r="K6" s="2" t="s">
        <v>131</v>
      </c>
      <c r="L6" s="9">
        <f>AVERAGE(G12:G14)</f>
        <v>212</v>
      </c>
      <c r="M6" s="9">
        <f>STDEV(G12:G14)</f>
        <v>33.045423283716609</v>
      </c>
      <c r="N6" s="13">
        <v>5.4878048780487809</v>
      </c>
      <c r="O6" s="86">
        <f>H12</f>
        <v>0.72506304763246621</v>
      </c>
      <c r="P6" s="23">
        <f>IF(L6/$L$4&gt;=1,L6/$L$4,-$L$4/L6)</f>
        <v>1.10801393728223</v>
      </c>
      <c r="Q6" s="39"/>
    </row>
    <row r="7" spans="1:26" ht="15" customHeight="1" x14ac:dyDescent="0.2">
      <c r="A7" s="106"/>
      <c r="B7" s="11" t="s">
        <v>66</v>
      </c>
      <c r="C7" s="35">
        <v>51</v>
      </c>
      <c r="D7" s="35">
        <v>52</v>
      </c>
      <c r="E7" s="14">
        <v>1</v>
      </c>
      <c r="F7" s="2">
        <f t="shared" si="0"/>
        <v>51.5</v>
      </c>
      <c r="G7" s="9">
        <f t="shared" si="1"/>
        <v>206</v>
      </c>
      <c r="H7" s="112"/>
      <c r="J7" s="72">
        <v>5</v>
      </c>
      <c r="K7" s="2" t="s">
        <v>132</v>
      </c>
      <c r="L7" s="9">
        <f>AVERAGE(G15:G17)</f>
        <v>266</v>
      </c>
      <c r="M7" s="9">
        <f>STDEV(G15:G17)</f>
        <v>176.95197088475732</v>
      </c>
      <c r="N7" s="13">
        <v>8.7108013937282234</v>
      </c>
      <c r="O7" s="18">
        <f>H15</f>
        <v>0.54935566680651338</v>
      </c>
      <c r="P7" s="23">
        <f>IF(L7/$L$4&gt;=1,L7/$L$4,-$L$4/L7)</f>
        <v>1.3902439024390243</v>
      </c>
      <c r="Q7" s="39"/>
    </row>
    <row r="8" spans="1:26" x14ac:dyDescent="0.2">
      <c r="A8" s="106"/>
      <c r="B8" s="11" t="s">
        <v>81</v>
      </c>
      <c r="C8" s="35">
        <v>19</v>
      </c>
      <c r="D8" s="35">
        <v>29</v>
      </c>
      <c r="E8" s="14">
        <v>1</v>
      </c>
      <c r="F8" s="2">
        <f t="shared" si="0"/>
        <v>24</v>
      </c>
      <c r="G8" s="9">
        <f t="shared" si="1"/>
        <v>96</v>
      </c>
      <c r="H8" s="112"/>
      <c r="J8" s="97">
        <v>6</v>
      </c>
      <c r="K8" s="92" t="s">
        <v>133</v>
      </c>
      <c r="L8" s="91">
        <f>AVERAGE(G18:G20)</f>
        <v>0</v>
      </c>
      <c r="M8" s="91">
        <f>STDEV(G18:G20)</f>
        <v>0</v>
      </c>
      <c r="N8" s="94">
        <v>1.9163763066202091E-3</v>
      </c>
      <c r="O8" s="98"/>
      <c r="P8" s="96"/>
      <c r="Q8" s="39"/>
    </row>
    <row r="9" spans="1:26" ht="15" customHeight="1" x14ac:dyDescent="0.2">
      <c r="A9" s="106" t="s">
        <v>135</v>
      </c>
      <c r="B9" s="11" t="s">
        <v>67</v>
      </c>
      <c r="C9" s="35">
        <v>62</v>
      </c>
      <c r="D9" s="35">
        <v>71</v>
      </c>
      <c r="E9" s="14">
        <v>1</v>
      </c>
      <c r="F9" s="2">
        <f t="shared" ref="F9:F14" si="2">AVERAGE(C9,D9)</f>
        <v>66.5</v>
      </c>
      <c r="G9" s="9">
        <f t="shared" ref="G9:G14" si="3">(F9/(0.05*E9))*0.2</f>
        <v>266</v>
      </c>
      <c r="H9" s="112">
        <f>TTEST(G9:G11,G$6:G$8,2,2)</f>
        <v>0.72797420089836207</v>
      </c>
      <c r="K9" s="40"/>
      <c r="L9" s="38"/>
      <c r="M9" s="38"/>
      <c r="N9" s="41"/>
      <c r="O9" s="43"/>
      <c r="P9" s="42"/>
      <c r="Q9" s="39"/>
    </row>
    <row r="10" spans="1:26" x14ac:dyDescent="0.2">
      <c r="A10" s="106"/>
      <c r="B10" s="11" t="s">
        <v>68</v>
      </c>
      <c r="C10" s="35">
        <v>68</v>
      </c>
      <c r="D10" s="35">
        <v>48</v>
      </c>
      <c r="E10" s="14">
        <v>1</v>
      </c>
      <c r="F10" s="2">
        <f t="shared" si="2"/>
        <v>58</v>
      </c>
      <c r="G10" s="9">
        <f t="shared" si="3"/>
        <v>232</v>
      </c>
      <c r="H10" s="112"/>
      <c r="K10" s="40"/>
      <c r="L10" s="38"/>
      <c r="M10" s="38"/>
      <c r="N10" s="41"/>
      <c r="O10" s="43"/>
      <c r="P10" s="42"/>
      <c r="Q10" s="39"/>
    </row>
    <row r="11" spans="1:26" ht="15" customHeight="1" x14ac:dyDescent="0.2">
      <c r="A11" s="106"/>
      <c r="B11" s="11" t="s">
        <v>82</v>
      </c>
      <c r="C11" s="35">
        <v>41</v>
      </c>
      <c r="D11" s="35">
        <v>32</v>
      </c>
      <c r="E11" s="14">
        <v>1</v>
      </c>
      <c r="F11" s="2">
        <f t="shared" si="2"/>
        <v>36.5</v>
      </c>
      <c r="G11" s="9">
        <f t="shared" si="3"/>
        <v>146</v>
      </c>
      <c r="H11" s="112"/>
      <c r="Q11" s="39"/>
    </row>
    <row r="12" spans="1:26" ht="15" customHeight="1" x14ac:dyDescent="0.2">
      <c r="A12" s="106" t="s">
        <v>134</v>
      </c>
      <c r="B12" s="11" t="s">
        <v>67</v>
      </c>
      <c r="C12" s="35">
        <v>22</v>
      </c>
      <c r="D12" s="35">
        <v>73</v>
      </c>
      <c r="E12" s="14">
        <v>1</v>
      </c>
      <c r="F12" s="2">
        <f t="shared" si="2"/>
        <v>47.5</v>
      </c>
      <c r="G12" s="9">
        <f t="shared" si="3"/>
        <v>190</v>
      </c>
      <c r="H12" s="112">
        <f>TTEST(G12:G14,G$6:G$8,2,2)</f>
        <v>0.72506304763246621</v>
      </c>
      <c r="K12" s="40"/>
      <c r="L12" s="38"/>
      <c r="M12" s="38"/>
      <c r="N12" s="41"/>
      <c r="O12" s="43"/>
      <c r="P12" s="42"/>
      <c r="Q12" s="39"/>
    </row>
    <row r="13" spans="1:26" x14ac:dyDescent="0.2">
      <c r="A13" s="106"/>
      <c r="B13" s="11" t="s">
        <v>68</v>
      </c>
      <c r="C13" s="35">
        <v>65</v>
      </c>
      <c r="D13" s="35">
        <v>60</v>
      </c>
      <c r="E13" s="14">
        <v>1</v>
      </c>
      <c r="F13" s="2">
        <f t="shared" si="2"/>
        <v>62.5</v>
      </c>
      <c r="G13" s="9">
        <f t="shared" si="3"/>
        <v>250</v>
      </c>
      <c r="H13" s="112"/>
      <c r="K13" s="40"/>
      <c r="L13" s="38"/>
      <c r="M13" s="38"/>
      <c r="N13" s="41"/>
      <c r="O13" s="43"/>
      <c r="P13" s="42"/>
      <c r="Q13" s="39"/>
    </row>
    <row r="14" spans="1:26" ht="15" customHeight="1" x14ac:dyDescent="0.2">
      <c r="A14" s="106"/>
      <c r="B14" s="11" t="s">
        <v>82</v>
      </c>
      <c r="C14" s="35">
        <v>52</v>
      </c>
      <c r="D14" s="35">
        <v>46</v>
      </c>
      <c r="E14" s="14">
        <v>1</v>
      </c>
      <c r="F14" s="2">
        <f t="shared" si="2"/>
        <v>49</v>
      </c>
      <c r="G14" s="9">
        <f t="shared" si="3"/>
        <v>196</v>
      </c>
      <c r="H14" s="112"/>
      <c r="Q14" s="39"/>
    </row>
    <row r="15" spans="1:26" ht="15" customHeight="1" x14ac:dyDescent="0.2">
      <c r="A15" s="106" t="s">
        <v>137</v>
      </c>
      <c r="B15" s="11" t="s">
        <v>67</v>
      </c>
      <c r="C15" s="35">
        <v>3</v>
      </c>
      <c r="D15" s="35">
        <v>56</v>
      </c>
      <c r="E15" s="14">
        <v>1</v>
      </c>
      <c r="F15" s="2">
        <f t="shared" si="0"/>
        <v>29.5</v>
      </c>
      <c r="G15" s="9">
        <f t="shared" si="1"/>
        <v>118</v>
      </c>
      <c r="H15" s="112">
        <f>TTEST(G15:G17,G$6:G$8,2,2)</f>
        <v>0.54935566680651338</v>
      </c>
      <c r="K15" s="40"/>
      <c r="L15" s="38"/>
      <c r="M15" s="38"/>
      <c r="N15" s="41"/>
      <c r="O15" s="43"/>
      <c r="P15" s="42"/>
      <c r="Q15" s="39"/>
    </row>
    <row r="16" spans="1:26" x14ac:dyDescent="0.2">
      <c r="A16" s="106"/>
      <c r="B16" s="11" t="s">
        <v>68</v>
      </c>
      <c r="C16" s="35">
        <v>144</v>
      </c>
      <c r="D16" s="35">
        <v>87</v>
      </c>
      <c r="E16" s="14">
        <v>1</v>
      </c>
      <c r="F16" s="2">
        <f t="shared" si="0"/>
        <v>115.5</v>
      </c>
      <c r="G16" s="9">
        <f t="shared" si="1"/>
        <v>462</v>
      </c>
      <c r="H16" s="112"/>
      <c r="K16" s="40"/>
      <c r="L16" s="38"/>
      <c r="M16" s="38"/>
      <c r="N16" s="41"/>
      <c r="O16" s="43"/>
      <c r="P16" s="42"/>
      <c r="Q16" s="39"/>
    </row>
    <row r="17" spans="1:26" ht="15" customHeight="1" x14ac:dyDescent="0.2">
      <c r="A17" s="106"/>
      <c r="B17" s="11" t="s">
        <v>82</v>
      </c>
      <c r="C17" s="35">
        <v>63</v>
      </c>
      <c r="D17" s="35">
        <v>46</v>
      </c>
      <c r="E17" s="14">
        <v>1</v>
      </c>
      <c r="F17" s="2">
        <f t="shared" si="0"/>
        <v>54.5</v>
      </c>
      <c r="G17" s="9">
        <f t="shared" si="1"/>
        <v>218</v>
      </c>
      <c r="H17" s="112"/>
      <c r="Q17" s="39"/>
    </row>
    <row r="18" spans="1:26" x14ac:dyDescent="0.2">
      <c r="A18" s="109" t="s">
        <v>138</v>
      </c>
      <c r="B18" s="88" t="s">
        <v>87</v>
      </c>
      <c r="C18" s="87">
        <v>0</v>
      </c>
      <c r="D18" s="87">
        <v>0</v>
      </c>
      <c r="E18" s="89">
        <v>1</v>
      </c>
      <c r="F18" s="92">
        <f t="shared" ref="F18:F20" si="4">AVERAGE(C18,D18)</f>
        <v>0</v>
      </c>
      <c r="G18" s="91">
        <f t="shared" ref="G18:G20" si="5">(F18/(0.05*E18))*0.2</f>
        <v>0</v>
      </c>
      <c r="H18" s="110"/>
      <c r="Q18" s="39"/>
    </row>
    <row r="19" spans="1:26" ht="15" customHeight="1" x14ac:dyDescent="0.2">
      <c r="A19" s="109"/>
      <c r="B19" s="88">
        <f>(18-3)*2</f>
        <v>30</v>
      </c>
      <c r="C19" s="87">
        <v>0</v>
      </c>
      <c r="D19" s="87">
        <v>0</v>
      </c>
      <c r="E19" s="89">
        <v>1</v>
      </c>
      <c r="F19" s="92">
        <f t="shared" si="4"/>
        <v>0</v>
      </c>
      <c r="G19" s="91">
        <f t="shared" si="5"/>
        <v>0</v>
      </c>
      <c r="H19" s="110"/>
      <c r="K19" s="40"/>
      <c r="L19" s="38"/>
      <c r="M19" s="38"/>
      <c r="N19" s="41"/>
      <c r="O19" s="43"/>
      <c r="P19" s="42"/>
      <c r="Q19" s="39"/>
    </row>
    <row r="20" spans="1:26" x14ac:dyDescent="0.2">
      <c r="A20" s="109"/>
      <c r="B20" s="88" t="s">
        <v>88</v>
      </c>
      <c r="C20" s="87">
        <v>0</v>
      </c>
      <c r="D20" s="87">
        <v>0</v>
      </c>
      <c r="E20" s="89">
        <v>1</v>
      </c>
      <c r="F20" s="92">
        <f t="shared" si="4"/>
        <v>0</v>
      </c>
      <c r="G20" s="91">
        <f t="shared" si="5"/>
        <v>0</v>
      </c>
      <c r="H20" s="110"/>
      <c r="K20" s="44"/>
      <c r="L20" s="38"/>
      <c r="M20" s="38"/>
      <c r="N20" s="41"/>
      <c r="O20" s="43"/>
      <c r="P20" s="42"/>
      <c r="Q20" s="39"/>
    </row>
    <row r="21" spans="1:26" ht="15" customHeight="1" x14ac:dyDescent="0.2">
      <c r="A21" s="36" t="s">
        <v>83</v>
      </c>
      <c r="H21" s="1"/>
      <c r="K21" s="40"/>
      <c r="L21" s="38"/>
      <c r="M21" s="38"/>
      <c r="N21" s="41"/>
      <c r="O21" s="43"/>
      <c r="P21" s="42"/>
      <c r="Q21" s="39"/>
    </row>
    <row r="22" spans="1:26" x14ac:dyDescent="0.2">
      <c r="K22" s="40"/>
      <c r="L22" s="38"/>
      <c r="M22" s="38"/>
      <c r="N22" s="41"/>
      <c r="O22" s="43"/>
      <c r="P22" s="42"/>
      <c r="Q22" s="39"/>
    </row>
    <row r="23" spans="1:26" ht="15" customHeight="1" x14ac:dyDescent="0.2">
      <c r="Q23" s="39"/>
    </row>
    <row r="24" spans="1:26" ht="16" customHeight="1" x14ac:dyDescent="0.2">
      <c r="Q24" s="39"/>
    </row>
    <row r="25" spans="1:26" ht="15" customHeight="1" x14ac:dyDescent="0.2">
      <c r="J25" s="1"/>
      <c r="K25" s="1"/>
      <c r="Q25" s="39"/>
    </row>
    <row r="27" spans="1:26" ht="16" customHeight="1" x14ac:dyDescent="0.2">
      <c r="I27" s="1"/>
      <c r="Q27" s="41"/>
      <c r="S27" s="1"/>
      <c r="U27" s="1"/>
      <c r="V27" s="1"/>
      <c r="W27" s="1"/>
      <c r="X27" s="1"/>
      <c r="Y27" s="1"/>
      <c r="Z27" s="1"/>
    </row>
    <row r="28" spans="1:26" x14ac:dyDescent="0.2">
      <c r="Q28" s="41"/>
    </row>
    <row r="29" spans="1:26" x14ac:dyDescent="0.2">
      <c r="Q29" s="41"/>
    </row>
    <row r="30" spans="1:26" ht="15" customHeight="1" x14ac:dyDescent="0.2">
      <c r="Q30" s="41"/>
    </row>
    <row r="31" spans="1:26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2">
    <mergeCell ref="A18:A20"/>
    <mergeCell ref="H18:H20"/>
    <mergeCell ref="A3:A5"/>
    <mergeCell ref="H3:H5"/>
    <mergeCell ref="A6:A8"/>
    <mergeCell ref="H6:H8"/>
    <mergeCell ref="A15:A17"/>
    <mergeCell ref="H15:H17"/>
    <mergeCell ref="A9:A11"/>
    <mergeCell ref="H9:H11"/>
    <mergeCell ref="A12:A14"/>
    <mergeCell ref="H12:H14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2:AM57"/>
  <sheetViews>
    <sheetView tabSelected="1" showRuler="0" topLeftCell="J1" zoomScale="90" zoomScaleNormal="90" workbookViewId="0">
      <selection activeCell="X7" sqref="X7"/>
    </sheetView>
  </sheetViews>
  <sheetFormatPr baseColWidth="10" defaultColWidth="10.6640625" defaultRowHeight="16" x14ac:dyDescent="0.2"/>
  <cols>
    <col min="1" max="1" width="17.5" customWidth="1"/>
    <col min="2" max="2" width="5.5" bestFit="1" customWidth="1"/>
    <col min="3" max="8" width="6.1640625" bestFit="1" customWidth="1"/>
    <col min="9" max="9" width="8.33203125" bestFit="1" customWidth="1"/>
    <col min="10" max="10" width="8" bestFit="1" customWidth="1"/>
    <col min="11" max="11" width="9" bestFit="1" customWidth="1"/>
    <col min="12" max="12" width="2.1640625" customWidth="1"/>
    <col min="13" max="13" width="2.1640625" bestFit="1" customWidth="1"/>
    <col min="14" max="14" width="21.1640625" bestFit="1" customWidth="1"/>
    <col min="15" max="15" width="9" bestFit="1" customWidth="1"/>
    <col min="16" max="16" width="8.6640625" bestFit="1" customWidth="1"/>
    <col min="17" max="17" width="7.33203125" bestFit="1" customWidth="1"/>
    <col min="18" max="18" width="9.33203125" bestFit="1" customWidth="1"/>
    <col min="23" max="23" width="20.1640625" bestFit="1" customWidth="1"/>
  </cols>
  <sheetData>
    <row r="2" spans="1:31" x14ac:dyDescent="0.2">
      <c r="A2" s="4" t="s">
        <v>0</v>
      </c>
      <c r="B2" s="4"/>
      <c r="C2" s="114" t="s">
        <v>84</v>
      </c>
      <c r="D2" s="114"/>
      <c r="E2" s="114"/>
      <c r="F2" s="114" t="s">
        <v>85</v>
      </c>
      <c r="G2" s="114"/>
      <c r="H2" s="114"/>
      <c r="L2" s="37"/>
      <c r="N2" s="103" t="s">
        <v>89</v>
      </c>
      <c r="O2" s="103"/>
      <c r="P2" s="103"/>
      <c r="Q2" s="103"/>
      <c r="R2" s="103"/>
      <c r="S2" s="103"/>
      <c r="W2" s="103" t="s">
        <v>141</v>
      </c>
      <c r="X2" s="103"/>
      <c r="Y2" s="103"/>
      <c r="Z2" s="103"/>
      <c r="AA2" s="103"/>
      <c r="AB2" s="103"/>
    </row>
    <row r="3" spans="1:31" ht="51" x14ac:dyDescent="0.2">
      <c r="A3" s="24"/>
      <c r="B3" s="24" t="s">
        <v>70</v>
      </c>
      <c r="C3" s="24">
        <v>1</v>
      </c>
      <c r="D3" s="24">
        <v>2</v>
      </c>
      <c r="E3" s="27">
        <v>3</v>
      </c>
      <c r="F3" s="24">
        <v>1</v>
      </c>
      <c r="G3" s="24">
        <v>2</v>
      </c>
      <c r="H3" s="27">
        <v>3</v>
      </c>
      <c r="I3" s="34" t="s">
        <v>56</v>
      </c>
      <c r="J3" s="28" t="s">
        <v>73</v>
      </c>
      <c r="K3" s="28" t="s">
        <v>74</v>
      </c>
      <c r="L3" s="1"/>
      <c r="N3" s="2"/>
      <c r="O3" s="28" t="s">
        <v>76</v>
      </c>
      <c r="P3" s="24" t="s">
        <v>77</v>
      </c>
      <c r="Q3" s="34" t="s">
        <v>78</v>
      </c>
      <c r="R3" s="29" t="s">
        <v>140</v>
      </c>
      <c r="S3" s="28" t="s">
        <v>142</v>
      </c>
      <c r="V3" s="85" t="s">
        <v>95</v>
      </c>
      <c r="W3" s="2"/>
      <c r="X3" s="28" t="s">
        <v>76</v>
      </c>
      <c r="Y3" s="24" t="s">
        <v>77</v>
      </c>
      <c r="Z3" s="34" t="s">
        <v>78</v>
      </c>
      <c r="AA3" s="33" t="s">
        <v>75</v>
      </c>
      <c r="AB3" s="29" t="s">
        <v>79</v>
      </c>
      <c r="AD3" s="101" t="s">
        <v>143</v>
      </c>
      <c r="AE3" s="101" t="s">
        <v>144</v>
      </c>
    </row>
    <row r="4" spans="1:31" x14ac:dyDescent="0.2">
      <c r="A4" s="111" t="s">
        <v>3</v>
      </c>
      <c r="B4" s="88" t="s">
        <v>62</v>
      </c>
      <c r="C4" s="89">
        <v>0</v>
      </c>
      <c r="D4" s="89"/>
      <c r="E4" s="87"/>
      <c r="F4" s="89">
        <v>0</v>
      </c>
      <c r="G4" s="89"/>
      <c r="H4" s="87"/>
      <c r="I4" s="89">
        <v>1</v>
      </c>
      <c r="J4" s="90">
        <f>AVERAGE(C4,F4)</f>
        <v>0</v>
      </c>
      <c r="K4" s="91">
        <f>(J4/(0.01*I4))*0.2</f>
        <v>0</v>
      </c>
      <c r="L4" s="1"/>
      <c r="M4" s="55">
        <v>1</v>
      </c>
      <c r="N4" s="2" t="s">
        <v>3</v>
      </c>
      <c r="O4" s="9">
        <f>AVERAGE(K4:K6)</f>
        <v>0</v>
      </c>
      <c r="P4" s="9">
        <f>STDEV(K4:K6)</f>
        <v>0</v>
      </c>
      <c r="Q4" s="13">
        <v>2.6132404181184669E-4</v>
      </c>
      <c r="R4" s="2"/>
      <c r="S4" s="2"/>
      <c r="V4" s="93">
        <v>1</v>
      </c>
      <c r="W4" s="2" t="s">
        <v>3</v>
      </c>
      <c r="X4" s="91">
        <v>0</v>
      </c>
      <c r="Y4" s="91">
        <v>0</v>
      </c>
      <c r="Z4" s="94">
        <v>2.6132404181184669E-4</v>
      </c>
      <c r="AA4" s="95"/>
      <c r="AB4" s="96"/>
    </row>
    <row r="5" spans="1:31" x14ac:dyDescent="0.2">
      <c r="A5" s="111"/>
      <c r="B5" s="88" t="s">
        <v>64</v>
      </c>
      <c r="C5" s="89">
        <v>0</v>
      </c>
      <c r="D5" s="89"/>
      <c r="E5" s="87"/>
      <c r="F5" s="89">
        <v>0</v>
      </c>
      <c r="G5" s="89"/>
      <c r="H5" s="87"/>
      <c r="I5" s="89">
        <v>1</v>
      </c>
      <c r="J5" s="90">
        <f t="shared" ref="J5:J6" si="0">AVERAGE(C5,F5)</f>
        <v>0</v>
      </c>
      <c r="K5" s="91">
        <f>(J5/(0.01*I5))*0.2</f>
        <v>0</v>
      </c>
      <c r="L5" s="1"/>
      <c r="M5" s="72">
        <v>2</v>
      </c>
      <c r="N5" s="2" t="s">
        <v>129</v>
      </c>
      <c r="O5" s="9">
        <f>AVERAGE(K7:K9)</f>
        <v>8100</v>
      </c>
      <c r="P5" s="9">
        <f>STDEV(K7:K9)</f>
        <v>953.93920141694559</v>
      </c>
      <c r="Q5" s="13">
        <v>7.3170731707317076</v>
      </c>
      <c r="R5" s="18">
        <f>TTEST(K7:K9,K$7:K$9,2,2)</f>
        <v>1</v>
      </c>
      <c r="S5" s="13">
        <f>O5/X5</f>
        <v>42.334494773519161</v>
      </c>
      <c r="V5" s="85">
        <v>2</v>
      </c>
      <c r="W5" s="2" t="s">
        <v>129</v>
      </c>
      <c r="X5" s="9">
        <v>191.33333333333334</v>
      </c>
      <c r="Y5" s="9">
        <v>88.911941455202381</v>
      </c>
      <c r="Z5" s="13">
        <v>7.3170731707317076</v>
      </c>
      <c r="AA5" s="86">
        <v>1</v>
      </c>
      <c r="AB5" s="23">
        <v>1</v>
      </c>
      <c r="AD5" s="102">
        <f>(22*60)/(3.3*LOG(O5/X5))</f>
        <v>245.89744983617621</v>
      </c>
      <c r="AE5" s="102">
        <v>169.1624228</v>
      </c>
    </row>
    <row r="6" spans="1:31" ht="15" customHeight="1" x14ac:dyDescent="0.2">
      <c r="A6" s="111"/>
      <c r="B6" s="88" t="s">
        <v>80</v>
      </c>
      <c r="C6" s="89">
        <v>0</v>
      </c>
      <c r="D6" s="89"/>
      <c r="E6" s="87"/>
      <c r="F6" s="89">
        <v>0</v>
      </c>
      <c r="G6" s="89"/>
      <c r="H6" s="87"/>
      <c r="I6" s="89">
        <v>1</v>
      </c>
      <c r="J6" s="90">
        <f t="shared" si="0"/>
        <v>0</v>
      </c>
      <c r="K6" s="91">
        <f t="shared" ref="K6:K18" si="1">(J6/(0.01*I6))*0.2</f>
        <v>0</v>
      </c>
      <c r="L6" s="1"/>
      <c r="M6" s="72">
        <v>3</v>
      </c>
      <c r="N6" s="2" t="s">
        <v>130</v>
      </c>
      <c r="O6" s="9">
        <f>AVERAGE(K10:K12)</f>
        <v>34333.333333333336</v>
      </c>
      <c r="P6" s="9">
        <f>STDEV(K10:K12)</f>
        <v>6658.3281184793868</v>
      </c>
      <c r="Q6" s="13">
        <v>4.7909407665505226</v>
      </c>
      <c r="R6" s="18">
        <f>TTEST(K10:K12,K$7:K$9,2,2)</f>
        <v>2.5042475782682426E-3</v>
      </c>
      <c r="S6" s="13">
        <f t="shared" ref="S6:S8" si="2">O6/X6</f>
        <v>159.93788819875778</v>
      </c>
      <c r="V6" s="85">
        <v>3</v>
      </c>
      <c r="W6" s="2" t="s">
        <v>130</v>
      </c>
      <c r="X6" s="9">
        <v>214.66666666666666</v>
      </c>
      <c r="Y6" s="9">
        <v>61.849279165834488</v>
      </c>
      <c r="Z6" s="13">
        <v>4.7909407665505226</v>
      </c>
      <c r="AA6" s="86">
        <v>0.72797420089836207</v>
      </c>
      <c r="AB6" s="23">
        <v>1.121951219512195</v>
      </c>
      <c r="AD6" s="102">
        <f t="shared" ref="AD6:AD8" si="3">(22*60)/(3.3*LOG(O6/X6))</f>
        <v>181.49220883068693</v>
      </c>
      <c r="AE6" s="102">
        <v>147.83021890000001</v>
      </c>
    </row>
    <row r="7" spans="1:31" ht="15" customHeight="1" x14ac:dyDescent="0.2">
      <c r="A7" s="106" t="s">
        <v>136</v>
      </c>
      <c r="B7" s="58" t="s">
        <v>65</v>
      </c>
      <c r="C7" s="14" t="s">
        <v>63</v>
      </c>
      <c r="D7" s="35">
        <v>45</v>
      </c>
      <c r="E7" s="35"/>
      <c r="F7" s="14" t="s">
        <v>63</v>
      </c>
      <c r="G7" s="35">
        <v>47</v>
      </c>
      <c r="H7" s="35"/>
      <c r="I7" s="14">
        <v>0.1</v>
      </c>
      <c r="J7" s="22">
        <f>AVERAGE(D7,G7)</f>
        <v>46</v>
      </c>
      <c r="K7" s="9">
        <f t="shared" si="1"/>
        <v>9200</v>
      </c>
      <c r="L7" s="1"/>
      <c r="M7" s="72">
        <v>4</v>
      </c>
      <c r="N7" s="2" t="s">
        <v>131</v>
      </c>
      <c r="O7" s="9">
        <f>AVERAGE(K13:K15)</f>
        <v>103333.33333333333</v>
      </c>
      <c r="P7" s="9">
        <f>STDEV(K13:K15)</f>
        <v>22941.955743426366</v>
      </c>
      <c r="Q7" s="13">
        <v>5.4878048780487809</v>
      </c>
      <c r="R7" s="18">
        <f>TTEST(K13:K15,K$7:K$9,2,2)</f>
        <v>1.9890855648455282E-3</v>
      </c>
      <c r="S7" s="13">
        <f t="shared" si="2"/>
        <v>487.42138364779873</v>
      </c>
      <c r="T7">
        <f>TTEST(K13:K15,K$10:K$12,2,2)</f>
        <v>7.4752895928208891E-3</v>
      </c>
      <c r="V7" s="85">
        <v>4</v>
      </c>
      <c r="W7" s="2" t="s">
        <v>131</v>
      </c>
      <c r="X7" s="9">
        <v>212</v>
      </c>
      <c r="Y7" s="9">
        <v>33.045423283716609</v>
      </c>
      <c r="Z7" s="13">
        <v>5.4878048780487809</v>
      </c>
      <c r="AA7" s="86">
        <v>0.72506304763246621</v>
      </c>
      <c r="AB7" s="23">
        <v>1.10801393728223</v>
      </c>
      <c r="AD7" s="102">
        <f t="shared" si="3"/>
        <v>148.81480661414369</v>
      </c>
      <c r="AE7" s="102">
        <v>147.09615160000001</v>
      </c>
    </row>
    <row r="8" spans="1:31" ht="15" customHeight="1" x14ac:dyDescent="0.2">
      <c r="A8" s="106"/>
      <c r="B8" s="58" t="s">
        <v>66</v>
      </c>
      <c r="C8" s="14" t="s">
        <v>63</v>
      </c>
      <c r="D8" s="35">
        <v>39</v>
      </c>
      <c r="E8" s="35"/>
      <c r="F8" s="14" t="s">
        <v>63</v>
      </c>
      <c r="G8" s="35">
        <v>36</v>
      </c>
      <c r="H8" s="35"/>
      <c r="I8" s="14">
        <v>0.1</v>
      </c>
      <c r="J8" s="22">
        <f>AVERAGE(D8,G8)</f>
        <v>37.5</v>
      </c>
      <c r="K8" s="9">
        <f t="shared" si="1"/>
        <v>7500</v>
      </c>
      <c r="L8" s="1"/>
      <c r="M8" s="72">
        <v>5</v>
      </c>
      <c r="N8" s="2" t="s">
        <v>132</v>
      </c>
      <c r="O8" s="9">
        <f>AVERAGE(K16:K18)</f>
        <v>13200</v>
      </c>
      <c r="P8" s="9">
        <f>STDEV(K16:K18)</f>
        <v>1410.6735979665884</v>
      </c>
      <c r="Q8" s="13">
        <v>8.7108013937282234</v>
      </c>
      <c r="R8" s="18">
        <f>TTEST(K16:K18,K$7:K$9,2,2)</f>
        <v>6.5737473211762128E-3</v>
      </c>
      <c r="S8" s="13">
        <f t="shared" si="2"/>
        <v>49.624060150375939</v>
      </c>
      <c r="V8" s="85">
        <v>5</v>
      </c>
      <c r="W8" s="2" t="s">
        <v>132</v>
      </c>
      <c r="X8" s="9">
        <v>266</v>
      </c>
      <c r="Y8" s="9">
        <v>176.95197088475732</v>
      </c>
      <c r="Z8" s="13">
        <v>8.7108013937282234</v>
      </c>
      <c r="AA8" s="18">
        <v>0.54935566680651338</v>
      </c>
      <c r="AB8" s="23">
        <v>1.3902439024390243</v>
      </c>
      <c r="AD8" s="102">
        <f t="shared" si="3"/>
        <v>235.89185448313034</v>
      </c>
      <c r="AE8" s="102">
        <v>186.53617840000001</v>
      </c>
    </row>
    <row r="9" spans="1:31" ht="16" customHeight="1" x14ac:dyDescent="0.2">
      <c r="A9" s="106"/>
      <c r="B9" s="58" t="s">
        <v>81</v>
      </c>
      <c r="C9" s="14" t="s">
        <v>63</v>
      </c>
      <c r="D9" s="35">
        <v>40</v>
      </c>
      <c r="E9" s="35"/>
      <c r="F9" s="14" t="s">
        <v>63</v>
      </c>
      <c r="G9" s="35">
        <v>36</v>
      </c>
      <c r="H9" s="35"/>
      <c r="I9" s="14">
        <v>0.1</v>
      </c>
      <c r="J9" s="22">
        <f>AVERAGE(D9,G9)</f>
        <v>38</v>
      </c>
      <c r="K9" s="9">
        <f t="shared" si="1"/>
        <v>7600</v>
      </c>
      <c r="L9" s="1"/>
      <c r="M9" s="72">
        <v>6</v>
      </c>
      <c r="N9" s="2" t="s">
        <v>133</v>
      </c>
      <c r="O9" s="9">
        <f>AVERAGE(K19:K21)</f>
        <v>0</v>
      </c>
      <c r="P9" s="9">
        <f>STDEV(K19:K21)</f>
        <v>0</v>
      </c>
      <c r="Q9" s="13">
        <v>1.9163763066202091E-3</v>
      </c>
      <c r="R9" s="18"/>
      <c r="S9" s="2"/>
      <c r="V9" s="97">
        <v>6</v>
      </c>
      <c r="W9" s="2" t="s">
        <v>133</v>
      </c>
      <c r="X9" s="91">
        <v>0</v>
      </c>
      <c r="Y9" s="91">
        <v>0</v>
      </c>
      <c r="Z9" s="94">
        <v>1.9163763066202091E-3</v>
      </c>
      <c r="AA9" s="98"/>
      <c r="AB9" s="96"/>
    </row>
    <row r="10" spans="1:31" x14ac:dyDescent="0.2">
      <c r="A10" s="106" t="s">
        <v>135</v>
      </c>
      <c r="B10" s="58" t="s">
        <v>67</v>
      </c>
      <c r="C10" s="14" t="s">
        <v>63</v>
      </c>
      <c r="D10" s="14" t="s">
        <v>63</v>
      </c>
      <c r="E10" s="35">
        <v>12</v>
      </c>
      <c r="F10" s="14" t="s">
        <v>63</v>
      </c>
      <c r="G10" s="14" t="s">
        <v>63</v>
      </c>
      <c r="H10" s="35">
        <v>15</v>
      </c>
      <c r="I10" s="14">
        <v>0.01</v>
      </c>
      <c r="J10" s="2">
        <f t="shared" ref="J10:J15" si="4">AVERAGE(E10,H10)</f>
        <v>13.5</v>
      </c>
      <c r="K10" s="9">
        <f t="shared" si="1"/>
        <v>27000</v>
      </c>
      <c r="L10" s="1"/>
      <c r="M10" s="41"/>
      <c r="N10" s="41"/>
      <c r="O10" s="41"/>
      <c r="P10" s="41"/>
      <c r="Q10" s="41"/>
      <c r="R10" s="41"/>
    </row>
    <row r="11" spans="1:31" x14ac:dyDescent="0.2">
      <c r="A11" s="106"/>
      <c r="B11" s="58" t="s">
        <v>68</v>
      </c>
      <c r="C11" s="14" t="s">
        <v>63</v>
      </c>
      <c r="D11" s="14" t="s">
        <v>63</v>
      </c>
      <c r="E11" s="35">
        <v>16</v>
      </c>
      <c r="F11" s="14" t="s">
        <v>63</v>
      </c>
      <c r="G11" s="14" t="s">
        <v>63</v>
      </c>
      <c r="H11" s="35">
        <v>24</v>
      </c>
      <c r="I11" s="14">
        <v>0.01</v>
      </c>
      <c r="J11" s="2">
        <f t="shared" si="4"/>
        <v>20</v>
      </c>
      <c r="K11" s="9">
        <f t="shared" si="1"/>
        <v>40000</v>
      </c>
      <c r="L11" s="1"/>
      <c r="M11" s="41"/>
      <c r="N11" s="41"/>
      <c r="O11" s="41"/>
      <c r="P11" s="41"/>
      <c r="Q11" s="41"/>
      <c r="R11" s="41"/>
    </row>
    <row r="12" spans="1:31" x14ac:dyDescent="0.2">
      <c r="A12" s="106"/>
      <c r="B12" s="58" t="s">
        <v>82</v>
      </c>
      <c r="C12" s="14" t="s">
        <v>63</v>
      </c>
      <c r="D12" s="14" t="s">
        <v>63</v>
      </c>
      <c r="E12" s="35">
        <v>24</v>
      </c>
      <c r="F12" s="14" t="s">
        <v>63</v>
      </c>
      <c r="G12" s="14" t="s">
        <v>63</v>
      </c>
      <c r="H12" s="35">
        <v>12</v>
      </c>
      <c r="I12" s="14">
        <v>0.01</v>
      </c>
      <c r="J12" s="2">
        <f t="shared" si="4"/>
        <v>18</v>
      </c>
      <c r="K12" s="9">
        <f t="shared" si="1"/>
        <v>36000</v>
      </c>
      <c r="L12" s="1"/>
      <c r="M12" s="41"/>
      <c r="N12" s="41"/>
      <c r="O12" s="41"/>
      <c r="P12" s="41"/>
      <c r="Q12" s="41"/>
      <c r="R12" s="41"/>
    </row>
    <row r="13" spans="1:31" x14ac:dyDescent="0.2">
      <c r="A13" s="106" t="s">
        <v>134</v>
      </c>
      <c r="B13" s="58" t="s">
        <v>67</v>
      </c>
      <c r="C13" s="14" t="s">
        <v>63</v>
      </c>
      <c r="D13" s="14" t="s">
        <v>63</v>
      </c>
      <c r="E13" s="35">
        <v>39</v>
      </c>
      <c r="F13" s="14" t="s">
        <v>63</v>
      </c>
      <c r="G13" s="14" t="s">
        <v>63</v>
      </c>
      <c r="H13" s="35">
        <v>38</v>
      </c>
      <c r="I13" s="14">
        <v>0.01</v>
      </c>
      <c r="J13" s="2">
        <f t="shared" si="4"/>
        <v>38.5</v>
      </c>
      <c r="K13" s="9">
        <f t="shared" si="1"/>
        <v>77000</v>
      </c>
      <c r="L13" s="1"/>
      <c r="M13" s="41"/>
      <c r="N13" s="41"/>
      <c r="O13" s="41"/>
      <c r="P13" s="41"/>
      <c r="Q13" s="41"/>
      <c r="R13" s="41"/>
    </row>
    <row r="14" spans="1:31" x14ac:dyDescent="0.2">
      <c r="A14" s="106"/>
      <c r="B14" s="58" t="s">
        <v>68</v>
      </c>
      <c r="C14" s="14" t="s">
        <v>63</v>
      </c>
      <c r="D14" s="14" t="s">
        <v>63</v>
      </c>
      <c r="E14" s="35">
        <v>51</v>
      </c>
      <c r="F14" s="14" t="s">
        <v>63</v>
      </c>
      <c r="G14" s="14" t="s">
        <v>63</v>
      </c>
      <c r="H14" s="35">
        <v>63</v>
      </c>
      <c r="I14" s="14">
        <v>0.01</v>
      </c>
      <c r="J14" s="2">
        <f t="shared" si="4"/>
        <v>57</v>
      </c>
      <c r="K14" s="9">
        <f t="shared" si="1"/>
        <v>114000</v>
      </c>
      <c r="L14" s="1"/>
      <c r="M14" s="41"/>
      <c r="N14" s="41"/>
      <c r="O14" s="41"/>
      <c r="P14" s="41"/>
      <c r="Q14" s="41"/>
      <c r="R14" s="41"/>
    </row>
    <row r="15" spans="1:31" ht="15" customHeight="1" x14ac:dyDescent="0.2">
      <c r="A15" s="106"/>
      <c r="B15" s="58" t="s">
        <v>82</v>
      </c>
      <c r="C15" s="14" t="s">
        <v>63</v>
      </c>
      <c r="D15" s="14" t="s">
        <v>63</v>
      </c>
      <c r="E15" s="35">
        <v>59</v>
      </c>
      <c r="F15" s="14" t="s">
        <v>63</v>
      </c>
      <c r="G15" s="14" t="s">
        <v>63</v>
      </c>
      <c r="H15" s="35">
        <v>60</v>
      </c>
      <c r="I15" s="14">
        <v>0.01</v>
      </c>
      <c r="J15" s="2">
        <f t="shared" si="4"/>
        <v>59.5</v>
      </c>
      <c r="K15" s="9">
        <f>(J15/(0.01*I15))*0.2</f>
        <v>119000</v>
      </c>
      <c r="L15" s="1"/>
      <c r="M15" s="40"/>
      <c r="N15" s="38"/>
      <c r="O15" s="38"/>
      <c r="P15" s="41"/>
      <c r="Q15" s="41"/>
      <c r="R15" s="42"/>
    </row>
    <row r="16" spans="1:31" x14ac:dyDescent="0.2">
      <c r="A16" s="106" t="s">
        <v>137</v>
      </c>
      <c r="B16" s="58" t="s">
        <v>67</v>
      </c>
      <c r="C16" s="14" t="s">
        <v>63</v>
      </c>
      <c r="D16" s="35">
        <v>63</v>
      </c>
      <c r="E16" s="35"/>
      <c r="F16" s="14" t="s">
        <v>63</v>
      </c>
      <c r="G16" s="35">
        <v>56</v>
      </c>
      <c r="H16" s="35"/>
      <c r="I16" s="14">
        <v>0.1</v>
      </c>
      <c r="J16" s="22">
        <f>AVERAGE(D16,G16)</f>
        <v>59.5</v>
      </c>
      <c r="K16" s="9">
        <f t="shared" si="1"/>
        <v>11900</v>
      </c>
      <c r="L16" s="1"/>
      <c r="M16" s="40"/>
      <c r="N16" s="38"/>
      <c r="O16" s="38"/>
      <c r="P16" s="41"/>
      <c r="Q16" s="43"/>
      <c r="R16" s="42"/>
    </row>
    <row r="17" spans="1:20" ht="15" customHeight="1" x14ac:dyDescent="0.2">
      <c r="A17" s="106"/>
      <c r="B17" s="58" t="s">
        <v>68</v>
      </c>
      <c r="C17" s="14" t="s">
        <v>63</v>
      </c>
      <c r="D17" s="35">
        <v>70</v>
      </c>
      <c r="E17" s="35"/>
      <c r="F17" s="14" t="s">
        <v>63</v>
      </c>
      <c r="G17" s="35">
        <v>60</v>
      </c>
      <c r="H17" s="35"/>
      <c r="I17" s="14">
        <v>0.1</v>
      </c>
      <c r="J17" s="22">
        <f>AVERAGE(D17,G17)</f>
        <v>65</v>
      </c>
      <c r="K17" s="9">
        <f t="shared" si="1"/>
        <v>13000</v>
      </c>
      <c r="L17" s="1"/>
      <c r="M17" s="40"/>
      <c r="N17" s="38"/>
      <c r="O17" s="38"/>
      <c r="P17" s="41"/>
      <c r="Q17" s="43"/>
      <c r="R17" s="42"/>
    </row>
    <row r="18" spans="1:20" x14ac:dyDescent="0.2">
      <c r="A18" s="106"/>
      <c r="B18" s="58" t="s">
        <v>82</v>
      </c>
      <c r="C18" s="14" t="s">
        <v>63</v>
      </c>
      <c r="D18" s="35">
        <v>75</v>
      </c>
      <c r="E18" s="35"/>
      <c r="F18" s="14" t="s">
        <v>63</v>
      </c>
      <c r="G18" s="35">
        <v>72</v>
      </c>
      <c r="H18" s="35"/>
      <c r="I18" s="14">
        <v>0.1</v>
      </c>
      <c r="J18" s="22">
        <f>AVERAGE(D18,G18)</f>
        <v>73.5</v>
      </c>
      <c r="K18" s="9">
        <f t="shared" si="1"/>
        <v>14700</v>
      </c>
      <c r="L18" s="1"/>
      <c r="M18" s="40"/>
      <c r="N18" s="38"/>
      <c r="O18" s="38"/>
      <c r="P18" s="41"/>
      <c r="Q18" s="43"/>
      <c r="R18" s="42"/>
      <c r="T18" s="1"/>
    </row>
    <row r="19" spans="1:20" ht="15" customHeight="1" x14ac:dyDescent="0.2">
      <c r="A19" s="109" t="s">
        <v>139</v>
      </c>
      <c r="B19" s="99" t="s">
        <v>98</v>
      </c>
      <c r="C19" s="87">
        <v>0</v>
      </c>
      <c r="D19" s="87"/>
      <c r="E19" s="87"/>
      <c r="F19" s="87">
        <v>0</v>
      </c>
      <c r="G19" s="87"/>
      <c r="H19" s="87"/>
      <c r="I19" s="89">
        <v>1</v>
      </c>
      <c r="J19" s="92">
        <f>AVERAGE(C19,F19)</f>
        <v>0</v>
      </c>
      <c r="K19" s="91">
        <f>(J19/(0.05*I19))*0.2</f>
        <v>0</v>
      </c>
      <c r="L19" s="1"/>
      <c r="M19" s="41"/>
      <c r="N19" s="41"/>
      <c r="O19" s="41"/>
      <c r="P19" s="41"/>
      <c r="Q19" s="41"/>
      <c r="R19" s="41"/>
    </row>
    <row r="20" spans="1:20" x14ac:dyDescent="0.2">
      <c r="A20" s="109"/>
      <c r="B20" s="99" t="s">
        <v>99</v>
      </c>
      <c r="C20" s="87">
        <v>0</v>
      </c>
      <c r="D20" s="87"/>
      <c r="E20" s="87"/>
      <c r="F20" s="87">
        <v>0</v>
      </c>
      <c r="G20" s="87"/>
      <c r="H20" s="87"/>
      <c r="I20" s="89">
        <v>1</v>
      </c>
      <c r="J20" s="92">
        <f>AVERAGE(C20,F20)</f>
        <v>0</v>
      </c>
      <c r="K20" s="91">
        <f t="shared" ref="K20:K21" si="5">(J20/(0.05*I20))*0.2</f>
        <v>0</v>
      </c>
      <c r="L20" s="1"/>
      <c r="M20" s="41"/>
      <c r="N20" s="41"/>
      <c r="O20" s="41"/>
      <c r="P20" s="41"/>
      <c r="Q20" s="41"/>
      <c r="R20" s="41"/>
    </row>
    <row r="21" spans="1:20" x14ac:dyDescent="0.2">
      <c r="A21" s="109"/>
      <c r="B21" s="99" t="s">
        <v>100</v>
      </c>
      <c r="C21" s="87">
        <v>0</v>
      </c>
      <c r="D21" s="87"/>
      <c r="E21" s="87"/>
      <c r="F21" s="87">
        <v>0</v>
      </c>
      <c r="G21" s="87"/>
      <c r="H21" s="87"/>
      <c r="I21" s="89">
        <v>1</v>
      </c>
      <c r="J21" s="92">
        <f>AVERAGE(C21,F21)</f>
        <v>0</v>
      </c>
      <c r="K21" s="91">
        <f t="shared" si="5"/>
        <v>0</v>
      </c>
      <c r="L21" s="1"/>
    </row>
    <row r="22" spans="1:20" x14ac:dyDescent="0.2">
      <c r="A22" s="59" t="s">
        <v>69</v>
      </c>
      <c r="B22" s="2"/>
      <c r="C22" s="2">
        <v>1</v>
      </c>
      <c r="D22" s="2">
        <f>C22/10</f>
        <v>0.1</v>
      </c>
      <c r="E22" s="2">
        <f>D22/10</f>
        <v>0.01</v>
      </c>
      <c r="F22" s="2">
        <v>1</v>
      </c>
      <c r="G22" s="2">
        <f>F22/10</f>
        <v>0.1</v>
      </c>
      <c r="H22" s="2">
        <f>G22/10</f>
        <v>0.01</v>
      </c>
      <c r="K22" s="1"/>
      <c r="L22" s="1"/>
    </row>
    <row r="23" spans="1:20" x14ac:dyDescent="0.2">
      <c r="A23" s="113" t="s">
        <v>86</v>
      </c>
      <c r="B23" s="113"/>
      <c r="C23" s="113"/>
      <c r="L23" s="1"/>
    </row>
    <row r="24" spans="1:20" ht="16" customHeight="1" x14ac:dyDescent="0.2">
      <c r="L24" s="1"/>
    </row>
    <row r="25" spans="1:20" ht="15" customHeight="1" x14ac:dyDescent="0.2">
      <c r="L25" s="1"/>
    </row>
    <row r="26" spans="1:20" ht="16" customHeight="1" x14ac:dyDescent="0.2">
      <c r="L26" s="1"/>
    </row>
    <row r="27" spans="1:20" ht="15" customHeight="1" x14ac:dyDescent="0.2">
      <c r="L27" s="1"/>
    </row>
    <row r="28" spans="1:20" x14ac:dyDescent="0.2">
      <c r="L28" s="1"/>
    </row>
    <row r="29" spans="1:20" x14ac:dyDescent="0.2">
      <c r="L29" s="1"/>
    </row>
    <row r="30" spans="1:20" ht="15" customHeight="1" x14ac:dyDescent="0.2">
      <c r="L30" s="1"/>
    </row>
    <row r="31" spans="1:20" x14ac:dyDescent="0.2">
      <c r="L31" s="1"/>
    </row>
    <row r="32" spans="1:20" x14ac:dyDescent="0.2">
      <c r="L32" s="1"/>
    </row>
    <row r="33" spans="12:12" ht="15" customHeight="1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57" spans="39:39" x14ac:dyDescent="0.2">
      <c r="AM57" s="100"/>
    </row>
  </sheetData>
  <mergeCells count="11">
    <mergeCell ref="W2:AB2"/>
    <mergeCell ref="N2:S2"/>
    <mergeCell ref="A23:C23"/>
    <mergeCell ref="A16:A18"/>
    <mergeCell ref="A19:A21"/>
    <mergeCell ref="A13:A15"/>
    <mergeCell ref="A10:A12"/>
    <mergeCell ref="F2:H2"/>
    <mergeCell ref="A4:A6"/>
    <mergeCell ref="A7:A9"/>
    <mergeCell ref="C2:E2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80" zoomScaleNormal="180" workbookViewId="0">
      <selection activeCell="F12" sqref="F12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46"/>
      <c r="B4" s="47" t="s">
        <v>20</v>
      </c>
      <c r="C4" s="46"/>
      <c r="D4" s="46"/>
    </row>
    <row r="5" spans="1:8" x14ac:dyDescent="0.2">
      <c r="A5" s="48" t="s">
        <v>21</v>
      </c>
      <c r="B5" s="48" t="s">
        <v>22</v>
      </c>
      <c r="C5" s="48" t="s">
        <v>23</v>
      </c>
      <c r="D5" s="48" t="s">
        <v>24</v>
      </c>
    </row>
    <row r="6" spans="1:8" x14ac:dyDescent="0.2">
      <c r="A6" s="49" t="s">
        <v>25</v>
      </c>
      <c r="B6" s="49">
        <v>4</v>
      </c>
      <c r="C6" s="49"/>
      <c r="D6" s="49" t="s">
        <v>97</v>
      </c>
    </row>
    <row r="7" spans="1:8" x14ac:dyDescent="0.2">
      <c r="A7" s="49" t="s">
        <v>26</v>
      </c>
      <c r="B7" s="49">
        <v>0</v>
      </c>
      <c r="C7" s="49">
        <v>12</v>
      </c>
      <c r="D7" s="49" t="s">
        <v>114</v>
      </c>
    </row>
    <row r="8" spans="1:8" x14ac:dyDescent="0.2">
      <c r="A8" s="49" t="s">
        <v>29</v>
      </c>
      <c r="B8" s="49">
        <f>6*3*2</f>
        <v>36</v>
      </c>
      <c r="C8" s="49">
        <v>0</v>
      </c>
      <c r="D8" s="49" t="s">
        <v>115</v>
      </c>
    </row>
    <row r="9" spans="1:8" ht="25" x14ac:dyDescent="0.2">
      <c r="A9" s="49" t="s">
        <v>31</v>
      </c>
      <c r="B9" s="49">
        <f>3*2</f>
        <v>6</v>
      </c>
      <c r="C9" s="49">
        <f>5*3*2</f>
        <v>30</v>
      </c>
      <c r="D9" s="50" t="s">
        <v>116</v>
      </c>
    </row>
    <row r="10" spans="1:8" x14ac:dyDescent="0.2">
      <c r="A10" s="49" t="s">
        <v>33</v>
      </c>
      <c r="B10" s="49">
        <f>SUM(B6:B9)</f>
        <v>46</v>
      </c>
      <c r="C10" s="49">
        <f>SUM(C6:C9)</f>
        <v>42</v>
      </c>
      <c r="D10" s="117" t="s">
        <v>36</v>
      </c>
      <c r="F10">
        <v>19</v>
      </c>
    </row>
    <row r="11" spans="1:8" ht="17" thickBot="1" x14ac:dyDescent="0.25">
      <c r="A11" s="51" t="s">
        <v>35</v>
      </c>
      <c r="B11" s="51">
        <f>B10/25</f>
        <v>1.84</v>
      </c>
      <c r="C11" s="52">
        <f>C10/20</f>
        <v>2.1</v>
      </c>
      <c r="D11" s="117"/>
      <c r="F11">
        <f>36+6</f>
        <v>42</v>
      </c>
    </row>
    <row r="12" spans="1:8" ht="17" thickBot="1" x14ac:dyDescent="0.25">
      <c r="A12" s="53" t="s">
        <v>38</v>
      </c>
      <c r="B12" s="54">
        <f>SUM(B11:C11)</f>
        <v>3.9400000000000004</v>
      </c>
      <c r="C12" s="46"/>
      <c r="D12" s="46"/>
      <c r="F12">
        <f>F11-F10</f>
        <v>23</v>
      </c>
    </row>
    <row r="27" spans="1:25" x14ac:dyDescent="0.2">
      <c r="V27" s="115" t="s">
        <v>43</v>
      </c>
      <c r="W27" s="116"/>
    </row>
    <row r="28" spans="1:25" ht="68" x14ac:dyDescent="0.2">
      <c r="S28" s="11" t="s">
        <v>44</v>
      </c>
      <c r="T28" s="11" t="s">
        <v>45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50</v>
      </c>
    </row>
    <row r="29" spans="1:25" ht="17" x14ac:dyDescent="0.2">
      <c r="S29" s="11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1">
        <v>2</v>
      </c>
      <c r="T30" s="20" t="s">
        <v>51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52</v>
      </c>
      <c r="C31" s="6"/>
      <c r="D31" s="6"/>
      <c r="E31" s="7"/>
      <c r="F31" s="7"/>
      <c r="G31" s="20"/>
      <c r="H31" s="20"/>
      <c r="I31" s="20"/>
      <c r="J31" s="7"/>
      <c r="K31" s="7"/>
      <c r="L31" s="7"/>
      <c r="M31" s="7"/>
      <c r="S31" s="11">
        <v>3</v>
      </c>
      <c r="T31" s="20" t="s">
        <v>53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5</v>
      </c>
      <c r="B32" s="10">
        <v>0.1</v>
      </c>
      <c r="C32" s="2"/>
      <c r="D32" s="6"/>
      <c r="E32" s="6"/>
      <c r="F32" s="6"/>
      <c r="G32" s="6"/>
      <c r="H32" s="6"/>
      <c r="I32" s="6"/>
      <c r="J32" s="6"/>
      <c r="K32" s="6"/>
      <c r="L32" s="11"/>
      <c r="M32" s="2"/>
    </row>
    <row r="33" spans="1:13" x14ac:dyDescent="0.2">
      <c r="A33" s="5" t="s">
        <v>7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9</v>
      </c>
      <c r="B34" s="7">
        <f>B33/10</f>
        <v>1E-3</v>
      </c>
      <c r="C34" s="6"/>
      <c r="D34" s="6"/>
      <c r="E34" s="7"/>
      <c r="F34" s="7"/>
      <c r="G34" s="20"/>
      <c r="H34" s="20"/>
      <c r="I34" s="20"/>
      <c r="J34" s="7"/>
      <c r="K34" s="7"/>
      <c r="M34" s="2"/>
    </row>
    <row r="35" spans="1:13" x14ac:dyDescent="0.2">
      <c r="A35" s="5" t="s">
        <v>11</v>
      </c>
      <c r="B35" s="10">
        <v>0.1</v>
      </c>
      <c r="C35" s="12"/>
      <c r="D35" s="6"/>
      <c r="E35" s="11"/>
      <c r="F35" s="6"/>
      <c r="G35" s="6"/>
      <c r="H35" s="6"/>
      <c r="I35" s="11"/>
      <c r="J35" s="11"/>
      <c r="K35" s="11"/>
      <c r="L35" s="11"/>
      <c r="M35" s="2"/>
    </row>
    <row r="36" spans="1:13" x14ac:dyDescent="0.2">
      <c r="A36" s="5" t="s">
        <v>13</v>
      </c>
      <c r="B36" s="7">
        <f>B35/10</f>
        <v>0.01</v>
      </c>
      <c r="C36" s="11"/>
      <c r="D36" s="6"/>
      <c r="E36" s="11"/>
      <c r="F36" s="2"/>
      <c r="G36" s="11"/>
      <c r="H36" s="21"/>
      <c r="I36" s="11"/>
      <c r="J36" s="11"/>
      <c r="K36" s="11"/>
      <c r="L36" s="11"/>
      <c r="M36" s="2"/>
    </row>
    <row r="37" spans="1:13" x14ac:dyDescent="0.2">
      <c r="A37" s="5" t="s">
        <v>15</v>
      </c>
      <c r="B37" s="7">
        <f>B36/10</f>
        <v>1E-3</v>
      </c>
      <c r="C37" s="12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17</v>
      </c>
      <c r="B38" s="10"/>
      <c r="C38" s="12"/>
      <c r="D38" s="6"/>
      <c r="E38" s="2"/>
      <c r="F38" s="2"/>
      <c r="G38" s="2"/>
      <c r="H38" s="9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PlateSetup</vt:lpstr>
      <vt:lpstr>BacteriaCalcs</vt:lpstr>
      <vt:lpstr>Inoculum</vt:lpstr>
      <vt:lpstr>T=2</vt:lpstr>
      <vt:lpstr>T=24</vt:lpstr>
      <vt:lpstr>PlatePlanning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2021-05-18T00:56:21Z</cp:lastPrinted>
  <dcterms:created xsi:type="dcterms:W3CDTF">2019-06-17T19:44:26Z</dcterms:created>
  <dcterms:modified xsi:type="dcterms:W3CDTF">2021-06-13T17:26:25Z</dcterms:modified>
</cp:coreProperties>
</file>