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78F13F30-A504-DB48-8442-99E96134A5EF}" xr6:coauthVersionLast="46" xr6:coauthVersionMax="46" xr10:uidLastSave="{00000000-0000-0000-0000-000000000000}"/>
  <bookViews>
    <workbookView xWindow="0" yWindow="500" windowWidth="35840" windowHeight="20120" activeTab="4" xr2:uid="{205ACA2F-8ED2-DB48-97DD-6C35F8214E47}"/>
  </bookViews>
  <sheets>
    <sheet name="PlateSetup" sheetId="6" r:id="rId1"/>
    <sheet name="BacteriaCalcs" sheetId="2" r:id="rId2"/>
    <sheet name="PlatePlanning" sheetId="1" r:id="rId3"/>
    <sheet name="Inoculum" sheetId="3" r:id="rId4"/>
    <sheet name="T=2" sheetId="4" r:id="rId5"/>
    <sheet name="T=24" sheetId="5" r:id="rId6"/>
    <sheet name="SDS vs saponin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0" i="2"/>
  <c r="D11" i="2"/>
  <c r="E11" i="2" s="1"/>
  <c r="D12" i="2"/>
  <c r="E12" i="2" s="1"/>
  <c r="D13" i="2"/>
  <c r="E13" i="2" s="1"/>
  <c r="D14" i="2"/>
  <c r="E14" i="2" s="1"/>
  <c r="D10" i="2"/>
  <c r="E10" i="2" s="1"/>
  <c r="AO3" i="5" l="1"/>
  <c r="AN3" i="5"/>
  <c r="N42" i="4"/>
  <c r="N41" i="4"/>
  <c r="N40" i="4"/>
  <c r="N39" i="4"/>
  <c r="M40" i="4"/>
  <c r="M42" i="4"/>
  <c r="M41" i="4"/>
  <c r="M39" i="4"/>
  <c r="N36" i="4"/>
  <c r="N35" i="4"/>
  <c r="N34" i="4"/>
  <c r="M36" i="4"/>
  <c r="M35" i="4"/>
  <c r="M34" i="4"/>
  <c r="D41" i="4"/>
  <c r="D42" i="4"/>
  <c r="D40" i="4"/>
  <c r="D38" i="4"/>
  <c r="D39" i="4"/>
  <c r="D37" i="4"/>
  <c r="D35" i="4"/>
  <c r="D36" i="4"/>
  <c r="D34" i="4"/>
  <c r="D32" i="4"/>
  <c r="D31" i="4"/>
  <c r="S6" i="4"/>
  <c r="S5" i="4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3" i="5"/>
  <c r="V10" i="5" s="1"/>
  <c r="V6" i="5"/>
  <c r="V5" i="5"/>
  <c r="V4" i="5"/>
  <c r="U4" i="5"/>
  <c r="S10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3" i="5"/>
  <c r="M4" i="5"/>
  <c r="M5" i="5"/>
  <c r="G17" i="3"/>
  <c r="G18" i="3"/>
  <c r="G19" i="3"/>
  <c r="I19" i="3" s="1"/>
  <c r="K19" i="3" s="1"/>
  <c r="C39" i="3" s="1"/>
  <c r="G5" i="3"/>
  <c r="G6" i="3"/>
  <c r="G7" i="3"/>
  <c r="D23" i="3"/>
  <c r="E23" i="3" s="1"/>
  <c r="G22" i="3"/>
  <c r="G21" i="3"/>
  <c r="G20" i="3"/>
  <c r="G16" i="3"/>
  <c r="G15" i="3"/>
  <c r="I15" i="3" s="1"/>
  <c r="K15" i="3" s="1"/>
  <c r="C37" i="3" s="1"/>
  <c r="I21" i="3" l="1"/>
  <c r="K21" i="3" s="1"/>
  <c r="C40" i="3" s="1"/>
  <c r="V7" i="5"/>
  <c r="V8" i="5"/>
  <c r="V9" i="5"/>
  <c r="R6" i="5"/>
  <c r="S6" i="5"/>
  <c r="S5" i="5"/>
  <c r="S8" i="5"/>
  <c r="U10" i="5"/>
  <c r="U8" i="5"/>
  <c r="R5" i="5"/>
  <c r="S4" i="5"/>
  <c r="S7" i="5"/>
  <c r="R10" i="5"/>
  <c r="U6" i="5"/>
  <c r="R7" i="5"/>
  <c r="R4" i="5"/>
  <c r="R8" i="5"/>
  <c r="R9" i="5"/>
  <c r="S9" i="5"/>
  <c r="H17" i="3"/>
  <c r="J17" i="3" s="1"/>
  <c r="H19" i="3"/>
  <c r="J19" i="3" s="1"/>
  <c r="H15" i="3"/>
  <c r="J15" i="3" s="1"/>
  <c r="H21" i="3"/>
  <c r="J21" i="3" s="1"/>
  <c r="I17" i="3"/>
  <c r="K17" i="3" s="1"/>
  <c r="C38" i="3" s="1"/>
  <c r="X10" i="5" l="1"/>
  <c r="X8" i="5"/>
  <c r="X6" i="5"/>
  <c r="L19" i="3"/>
  <c r="B39" i="3"/>
  <c r="L21" i="3"/>
  <c r="B40" i="3"/>
  <c r="L15" i="3"/>
  <c r="B37" i="3"/>
  <c r="L17" i="3"/>
  <c r="B38" i="3"/>
  <c r="J20" i="6" l="1"/>
  <c r="Q17" i="6"/>
  <c r="J11" i="6"/>
  <c r="J10" i="6"/>
  <c r="J9" i="6"/>
  <c r="B11" i="1"/>
  <c r="E10" i="1"/>
  <c r="C10" i="1"/>
  <c r="B10" i="1"/>
  <c r="I41" i="6"/>
  <c r="I40" i="6"/>
  <c r="K4" i="6" l="1"/>
  <c r="J5" i="6"/>
  <c r="K5" i="6" s="1"/>
  <c r="J7" i="6" l="1"/>
  <c r="B36" i="10" l="1"/>
  <c r="B43" i="10" s="1"/>
  <c r="C36" i="10"/>
  <c r="C43" i="10" s="1"/>
  <c r="D36" i="10"/>
  <c r="E36" i="10"/>
  <c r="B37" i="10"/>
  <c r="B44" i="10" s="1"/>
  <c r="C37" i="10"/>
  <c r="C44" i="10" s="1"/>
  <c r="D37" i="10"/>
  <c r="E37" i="10"/>
  <c r="B38" i="10"/>
  <c r="B45" i="10" s="1"/>
  <c r="C38" i="10"/>
  <c r="C45" i="10" s="1"/>
  <c r="D38" i="10"/>
  <c r="E38" i="10"/>
  <c r="B39" i="10"/>
  <c r="B46" i="10" s="1"/>
  <c r="C39" i="10"/>
  <c r="C46" i="10" s="1"/>
  <c r="D39" i="10"/>
  <c r="E39" i="10"/>
  <c r="B40" i="10"/>
  <c r="B47" i="10" s="1"/>
  <c r="C40" i="10"/>
  <c r="C47" i="10" s="1"/>
  <c r="D40" i="10"/>
  <c r="E40" i="10"/>
  <c r="C35" i="10"/>
  <c r="C42" i="10" s="1"/>
  <c r="D35" i="10"/>
  <c r="E35" i="10"/>
  <c r="B35" i="10"/>
  <c r="B42" i="10" s="1"/>
  <c r="C12" i="10"/>
  <c r="C20" i="10" s="1"/>
  <c r="D12" i="10"/>
  <c r="E12" i="10"/>
  <c r="C13" i="10"/>
  <c r="C21" i="10" s="1"/>
  <c r="D13" i="10"/>
  <c r="E13" i="10"/>
  <c r="C14" i="10"/>
  <c r="C22" i="10" s="1"/>
  <c r="D14" i="10"/>
  <c r="E14" i="10"/>
  <c r="B15" i="10"/>
  <c r="B23" i="10" s="1"/>
  <c r="C15" i="10"/>
  <c r="D15" i="10"/>
  <c r="E15" i="10"/>
  <c r="B16" i="10"/>
  <c r="C16" i="10"/>
  <c r="C24" i="10" s="1"/>
  <c r="D16" i="10"/>
  <c r="E16" i="10"/>
  <c r="C11" i="10"/>
  <c r="D11" i="10"/>
  <c r="E11" i="10"/>
  <c r="B24" i="10" l="1"/>
  <c r="C23" i="10"/>
  <c r="C19" i="10"/>
  <c r="AN7" i="5" l="1"/>
  <c r="AN8" i="5"/>
  <c r="AN5" i="5"/>
  <c r="AO5" i="5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N10" i="4" l="1"/>
  <c r="O8" i="4"/>
  <c r="O7" i="4"/>
  <c r="N7" i="4"/>
  <c r="S7" i="4" s="1"/>
  <c r="N8" i="4"/>
  <c r="N9" i="4"/>
  <c r="S9" i="4" s="1"/>
  <c r="O10" i="4"/>
  <c r="O9" i="4"/>
  <c r="AO7" i="5"/>
  <c r="AO8" i="5"/>
  <c r="S8" i="4" l="1"/>
  <c r="S10" i="4"/>
  <c r="D10" i="1"/>
  <c r="D11" i="1" l="1"/>
  <c r="I7" i="6"/>
  <c r="G4" i="3" l="1"/>
  <c r="G8" i="3"/>
  <c r="G9" i="3"/>
  <c r="G10" i="3"/>
  <c r="G3" i="3"/>
  <c r="R3" i="5" l="1"/>
  <c r="W3" i="5" s="1"/>
  <c r="S3" i="5"/>
  <c r="AN9" i="5"/>
  <c r="W10" i="5" l="1"/>
  <c r="W8" i="5"/>
  <c r="X4" i="5"/>
  <c r="W7" i="5"/>
  <c r="W9" i="5"/>
  <c r="W4" i="5"/>
  <c r="W5" i="5"/>
  <c r="W6" i="5"/>
  <c r="AO9" i="5"/>
  <c r="AP3" i="5"/>
  <c r="Q6" i="6"/>
  <c r="Q7" i="6" s="1"/>
  <c r="Q8" i="6" s="1"/>
  <c r="I9" i="6" s="1"/>
  <c r="I10" i="6" s="1"/>
  <c r="I11" i="6" s="1"/>
  <c r="Q18" i="6"/>
  <c r="Q19" i="6" s="1"/>
  <c r="I12" i="6" l="1"/>
  <c r="J12" i="6"/>
  <c r="J13" i="6" s="1"/>
  <c r="I13" i="6"/>
  <c r="I20" i="6" s="1"/>
  <c r="I37" i="6" l="1"/>
  <c r="I36" i="6"/>
  <c r="J22" i="6"/>
  <c r="J24" i="6" s="1"/>
  <c r="I22" i="6"/>
  <c r="J34" i="6" l="1"/>
  <c r="J35" i="6"/>
  <c r="AN4" i="5"/>
  <c r="I24" i="6"/>
  <c r="I26" i="6" s="1"/>
  <c r="G14" i="4"/>
  <c r="H14" i="4" s="1"/>
  <c r="G13" i="4"/>
  <c r="H13" i="4" s="1"/>
  <c r="G12" i="4"/>
  <c r="H12" i="4" s="1"/>
  <c r="H9" i="3"/>
  <c r="J9" i="3" s="1"/>
  <c r="L9" i="3" s="1"/>
  <c r="I5" i="3"/>
  <c r="K5" i="3" s="1"/>
  <c r="C31" i="3" s="1"/>
  <c r="I27" i="5"/>
  <c r="J27" i="5" s="1"/>
  <c r="E27" i="5"/>
  <c r="F27" i="5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G4" i="4"/>
  <c r="H4" i="4" s="1"/>
  <c r="G3" i="4"/>
  <c r="H3" i="4" s="1"/>
  <c r="D11" i="3"/>
  <c r="E11" i="3" s="1"/>
  <c r="H5" i="4" l="1"/>
  <c r="D33" i="4"/>
  <c r="N6" i="4"/>
  <c r="O6" i="4"/>
  <c r="O5" i="4"/>
  <c r="N5" i="4"/>
  <c r="O4" i="4"/>
  <c r="N4" i="4"/>
  <c r="Q6" i="4"/>
  <c r="Q5" i="4"/>
  <c r="O3" i="4"/>
  <c r="I24" i="4"/>
  <c r="I21" i="4"/>
  <c r="Q9" i="4"/>
  <c r="Q4" i="4"/>
  <c r="Q10" i="4"/>
  <c r="I3" i="4"/>
  <c r="I9" i="4"/>
  <c r="I18" i="4"/>
  <c r="I12" i="4"/>
  <c r="N3" i="4"/>
  <c r="Q8" i="4"/>
  <c r="I15" i="4"/>
  <c r="I6" i="4"/>
  <c r="Q7" i="4"/>
  <c r="AN10" i="5"/>
  <c r="J39" i="6"/>
  <c r="K39" i="6" s="1"/>
  <c r="K35" i="6"/>
  <c r="J38" i="6"/>
  <c r="K38" i="6" s="1"/>
  <c r="K34" i="6"/>
  <c r="AN6" i="5"/>
  <c r="B33" i="3"/>
  <c r="B48" i="3" s="1"/>
  <c r="I3" i="3"/>
  <c r="K3" i="3" s="1"/>
  <c r="C30" i="3" s="1"/>
  <c r="I9" i="3"/>
  <c r="K9" i="3" s="1"/>
  <c r="C33" i="3" s="1"/>
  <c r="H7" i="3"/>
  <c r="J7" i="3" s="1"/>
  <c r="L7" i="3" s="1"/>
  <c r="I7" i="3"/>
  <c r="K7" i="3" s="1"/>
  <c r="C32" i="3" s="1"/>
  <c r="H5" i="3"/>
  <c r="J5" i="3" s="1"/>
  <c r="L5" i="3" s="1"/>
  <c r="H3" i="3"/>
  <c r="J3" i="3" s="1"/>
  <c r="L3" i="3" s="1"/>
  <c r="S3" i="4" l="1"/>
  <c r="R3" i="4"/>
  <c r="S4" i="4"/>
  <c r="N33" i="4"/>
  <c r="M33" i="4"/>
  <c r="R4" i="4"/>
  <c r="R5" i="4"/>
  <c r="R9" i="4"/>
  <c r="R10" i="4"/>
  <c r="R8" i="4"/>
  <c r="R7" i="4"/>
  <c r="R6" i="4"/>
  <c r="AO10" i="5"/>
  <c r="AO6" i="5"/>
  <c r="B30" i="3"/>
  <c r="B45" i="3" s="1"/>
  <c r="AO4" i="5"/>
  <c r="B32" i="3"/>
  <c r="B47" i="3" s="1"/>
  <c r="B31" i="3"/>
  <c r="B46" i="3" s="1"/>
  <c r="B36" i="1" l="1"/>
  <c r="B37" i="1" s="1"/>
  <c r="B33" i="1"/>
  <c r="B34" i="1" s="1"/>
  <c r="Y31" i="1"/>
  <c r="Y30" i="1"/>
  <c r="Y29" i="1"/>
  <c r="B12" i="1" l="1"/>
</calcChain>
</file>

<file path=xl/sharedStrings.xml><?xml version="1.0" encoding="utf-8"?>
<sst xmlns="http://schemas.openxmlformats.org/spreadsheetml/2006/main" count="626" uniqueCount="193">
  <si>
    <t xml:space="preserve"> </t>
  </si>
  <si>
    <t>Macrophage Calculations</t>
  </si>
  <si>
    <t>A</t>
  </si>
  <si>
    <t>LVS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</si>
  <si>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</si>
  <si>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</si>
  <si>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</si>
  <si>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</si>
  <si>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</si>
  <si>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</si>
  <si>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</si>
  <si>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</si>
  <si>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</si>
  <si>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</si>
  <si>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</si>
  <si>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</si>
  <si>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</si>
  <si>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</si>
  <si>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</si>
  <si>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</si>
  <si>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Number of plates</t>
  </si>
  <si>
    <t>Use</t>
  </si>
  <si>
    <t>Square</t>
  </si>
  <si>
    <t>Notes</t>
  </si>
  <si>
    <t>Patch strains for infections</t>
  </si>
  <si>
    <t>Plate inoculumns</t>
  </si>
  <si>
    <t>Bacterial Calculations</t>
  </si>
  <si>
    <t>Actual</t>
  </si>
  <si>
    <t>Timepoint 2 hours</t>
  </si>
  <si>
    <t>MOI</t>
  </si>
  <si>
    <t>Macrophage cells per well</t>
  </si>
  <si>
    <t>Total plates</t>
  </si>
  <si>
    <t>Volume bacteria to add (mL)</t>
  </si>
  <si>
    <t>Flasks of 600 mL CHA</t>
  </si>
  <si>
    <t>Round plates: 24 mL, 25 per flask; Square plates: 30 mL, 20 per flask</t>
  </si>
  <si>
    <t>Bacterial density needed (cells/mL)</t>
  </si>
  <si>
    <t>Total number of CHA flasks</t>
  </si>
  <si>
    <t>Cells/mL per OD600</t>
  </si>
  <si>
    <t>OD needed for given density</t>
  </si>
  <si>
    <t>Resuspend to</t>
  </si>
  <si>
    <t>For final vol 1.3 mL at 0.028</t>
  </si>
  <si>
    <t>Number</t>
  </si>
  <si>
    <t>Strain</t>
  </si>
  <si>
    <t>Resuspend cells to (OD600)</t>
  </si>
  <si>
    <t>Cells (uL)</t>
  </si>
  <si>
    <t>Media (x2, uL)</t>
  </si>
  <si>
    <t>OD600</t>
  </si>
  <si>
    <t>Volume to dilute in 1 mL (usually 1:100)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</si>
  <si>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</si>
  <si>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t>undiluted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</si>
  <si>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</si>
  <si>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 xml:space="preserve">  </t>
  </si>
  <si>
    <t>Replicate</t>
  </si>
  <si>
    <t>Dilution factor counted</t>
  </si>
  <si>
    <t>Cells / mL</t>
  </si>
  <si>
    <t>Average Cells / mL</t>
  </si>
  <si>
    <t>St dev</t>
  </si>
  <si>
    <t>CFU/well</t>
  </si>
  <si>
    <t>1A</t>
  </si>
  <si>
    <t>TMTC</t>
  </si>
  <si>
    <t>1B</t>
  </si>
  <si>
    <t>2A</t>
  </si>
  <si>
    <t>2B</t>
  </si>
  <si>
    <t>3A</t>
  </si>
  <si>
    <t>3B</t>
  </si>
  <si>
    <t>Dilution Factor</t>
  </si>
  <si>
    <t>Plate</t>
  </si>
  <si>
    <t>Plate 1</t>
  </si>
  <si>
    <t>Plate 2</t>
  </si>
  <si>
    <t>Average Cells</t>
  </si>
  <si>
    <t>CFU per well</t>
  </si>
  <si>
    <t>T-test</t>
  </si>
  <si>
    <t>Average CFU per well</t>
  </si>
  <si>
    <t>St Dev</t>
  </si>
  <si>
    <t>Original MOI</t>
  </si>
  <si>
    <t>Fold Change</t>
  </si>
  <si>
    <t>1C</t>
  </si>
  <si>
    <t>2C</t>
  </si>
  <si>
    <t>3C</t>
  </si>
  <si>
    <t>-</t>
  </si>
  <si>
    <t>Track Plate 1</t>
  </si>
  <si>
    <t>Track Plate 2</t>
  </si>
  <si>
    <t>7A</t>
  </si>
  <si>
    <t>7B</t>
  </si>
  <si>
    <t>8A</t>
  </si>
  <si>
    <t>8B</t>
  </si>
  <si>
    <t>9A</t>
  </si>
  <si>
    <t>9B</t>
  </si>
  <si>
    <t>7C</t>
  </si>
  <si>
    <t>8C</t>
  </si>
  <si>
    <t>9C</t>
  </si>
  <si>
    <t>T=24</t>
  </si>
  <si>
    <t>T=2</t>
  </si>
  <si>
    <t>Bacterial Growth</t>
  </si>
  <si>
    <t>2nd measurement</t>
  </si>
  <si>
    <t>1st measurement</t>
  </si>
  <si>
    <t>Average</t>
  </si>
  <si>
    <t>Undiluted</t>
  </si>
  <si>
    <t>Density</t>
  </si>
  <si>
    <t>#</t>
  </si>
  <si>
    <t>Media (uL)</t>
  </si>
  <si>
    <t>Strain Number</t>
  </si>
  <si>
    <t>KRLVS40</t>
  </si>
  <si>
    <t>KMLFT49</t>
  </si>
  <si>
    <r>
      <t>LVS ∆</t>
    </r>
    <r>
      <rPr>
        <i/>
        <sz val="9"/>
        <color theme="1"/>
        <rFont val="Calibri"/>
        <family val="2"/>
        <scheme val="minor"/>
      </rPr>
      <t>pmrA</t>
    </r>
  </si>
  <si>
    <r>
      <t>LVS ∆</t>
    </r>
    <r>
      <rPr>
        <i/>
        <sz val="9"/>
        <color theme="1"/>
        <rFont val="Calibri"/>
        <family val="2"/>
        <scheme val="minor"/>
      </rPr>
      <t>pmrA</t>
    </r>
    <r>
      <rPr>
        <sz val="9"/>
        <color theme="1"/>
        <rFont val="Calibri"/>
        <family val="2"/>
        <scheme val="minor"/>
      </rPr>
      <t xml:space="preserve"> ∆</t>
    </r>
    <r>
      <rPr>
        <i/>
        <sz val="9"/>
        <color theme="1"/>
        <rFont val="Calibri"/>
        <family val="2"/>
        <scheme val="minor"/>
      </rPr>
      <t>priM</t>
    </r>
  </si>
  <si>
    <t>1x each</t>
  </si>
  <si>
    <t>4 strains in duplicate</t>
  </si>
  <si>
    <t>Goal OD:</t>
  </si>
  <si>
    <t>LVS ∆pmrA</t>
  </si>
  <si>
    <t>LVS ∆pmrA ∆priM</t>
  </si>
  <si>
    <t>4A</t>
  </si>
  <si>
    <t>4B</t>
  </si>
  <si>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>pmrA</t>
    </r>
  </si>
  <si>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 xml:space="preserve">pmrA </t>
    </r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>priM</t>
    </r>
  </si>
  <si>
    <t>MOI (based on # of seeded macrophage)</t>
  </si>
  <si>
    <t>4C</t>
  </si>
  <si>
    <t>Saponin</t>
  </si>
  <si>
    <t>SDS</t>
  </si>
  <si>
    <r>
      <t>∆</t>
    </r>
    <r>
      <rPr>
        <i/>
        <sz val="12"/>
        <color theme="1"/>
        <rFont val="Calibri"/>
        <family val="2"/>
        <scheme val="minor"/>
      </rPr>
      <t>pmrA</t>
    </r>
    <r>
      <rPr>
        <sz val="12"/>
        <color theme="1"/>
        <rFont val="Calibri"/>
        <family val="2"/>
        <scheme val="minor"/>
      </rPr>
      <t xml:space="preserve"> ∆</t>
    </r>
    <r>
      <rPr>
        <i/>
        <sz val="12"/>
        <color theme="1"/>
        <rFont val="Calibri"/>
        <family val="2"/>
        <scheme val="minor"/>
      </rPr>
      <t xml:space="preserve">priM </t>
    </r>
  </si>
  <si>
    <t>∆pmrA</t>
  </si>
  <si>
    <t>saponin</t>
  </si>
  <si>
    <t>∆pmrA ∆priM</t>
  </si>
  <si>
    <t>*Plated 60 ul on circular plate</t>
  </si>
  <si>
    <t>9 (+)</t>
  </si>
  <si>
    <t>LVS comparison</t>
  </si>
  <si>
    <t>2 to 3</t>
  </si>
  <si>
    <t>1 to 2</t>
  </si>
  <si>
    <t>∆pmrA ∆priM comparison</t>
  </si>
  <si>
    <t>96 well</t>
  </si>
  <si>
    <t>12 well</t>
  </si>
  <si>
    <t>Surface area (cm^2)</t>
  </si>
  <si>
    <t>ratio</t>
  </si>
  <si>
    <t>∆pmrA∆priM</t>
  </si>
  <si>
    <t>∆pigR</t>
  </si>
  <si>
    <t>Testing:</t>
  </si>
  <si>
    <t>2 hours</t>
  </si>
  <si>
    <t>24 hours</t>
  </si>
  <si>
    <r>
      <t>LVS ∆</t>
    </r>
    <r>
      <rPr>
        <i/>
        <sz val="9"/>
        <color theme="1"/>
        <rFont val="Calibri"/>
        <family val="2"/>
        <scheme val="minor"/>
      </rPr>
      <t>pigR</t>
    </r>
  </si>
  <si>
    <t>JCLVS106</t>
  </si>
  <si>
    <t>4 strains x 3 wells  x 2 plates</t>
  </si>
  <si>
    <t># of bacteria per well min</t>
  </si>
  <si>
    <t># of bacteria per well max</t>
  </si>
  <si>
    <t>percent of inocolum min</t>
  </si>
  <si>
    <t>percent of inocolum max</t>
  </si>
  <si>
    <t># bacteria per well min</t>
  </si>
  <si>
    <t>fold replication min</t>
  </si>
  <si>
    <t>fold replication max</t>
  </si>
  <si>
    <t>10% of well for plating</t>
  </si>
  <si>
    <t>Timepoint 24 hours CHA</t>
  </si>
  <si>
    <t>Round KAN</t>
  </si>
  <si>
    <t>Round CHA</t>
  </si>
  <si>
    <t>Square KAN</t>
  </si>
  <si>
    <t>4 strains x 3 wells x 2 plates</t>
  </si>
  <si>
    <t>Request</t>
  </si>
  <si>
    <t>*All mixed 1:1 with LVS Tn7::GFP*</t>
  </si>
  <si>
    <t>Volume needed at final density</t>
  </si>
  <si>
    <t>Final MOI 10, dilute 1:10</t>
  </si>
  <si>
    <t>Inoculum - KAN plates</t>
  </si>
  <si>
    <t>Inoculum: CHA plates</t>
  </si>
  <si>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>pigR</t>
    </r>
  </si>
  <si>
    <t>ALL CELLS</t>
  </si>
  <si>
    <t>KanR CELLS</t>
  </si>
  <si>
    <t>Ratio KanS to KanR</t>
  </si>
  <si>
    <t>CHA</t>
  </si>
  <si>
    <t>CHA-KAN</t>
  </si>
  <si>
    <r>
      <t>∆</t>
    </r>
    <r>
      <rPr>
        <i/>
        <sz val="12"/>
        <color theme="1"/>
        <rFont val="Calibri"/>
        <family val="2"/>
        <scheme val="minor"/>
      </rPr>
      <t>pigR</t>
    </r>
  </si>
  <si>
    <r>
      <t>∆</t>
    </r>
    <r>
      <rPr>
        <i/>
        <sz val="12"/>
        <color theme="1"/>
        <rFont val="Calibri"/>
        <family val="2"/>
        <scheme val="minor"/>
      </rPr>
      <t>pmrA</t>
    </r>
  </si>
  <si>
    <t>CHA-Kan</t>
  </si>
  <si>
    <t>T-test (CHA vs CHA-Kan)</t>
  </si>
  <si>
    <t>Fold Change (vs LVS CHA)</t>
  </si>
  <si>
    <t>Fold Change (vs  CHA)</t>
  </si>
  <si>
    <t>T-test (vs LVS CHA)</t>
  </si>
  <si>
    <t>Fold Change (vs  LVS CHA)</t>
  </si>
  <si>
    <t>CHA or CHA-Kan</t>
  </si>
  <si>
    <t>Fold Change (CHA vs CHA-Kan)</t>
  </si>
  <si>
    <t>71*</t>
  </si>
  <si>
    <t>147*</t>
  </si>
  <si>
    <t>0*</t>
  </si>
  <si>
    <t>Ratios</t>
  </si>
  <si>
    <r>
      <t>LVS ∆</t>
    </r>
    <r>
      <rPr>
        <i/>
        <sz val="11"/>
        <color theme="1"/>
        <rFont val="Calibri"/>
        <family val="2"/>
        <scheme val="minor"/>
      </rPr>
      <t>pmrA</t>
    </r>
  </si>
  <si>
    <r>
      <t>LVS ∆</t>
    </r>
    <r>
      <rPr>
        <i/>
        <sz val="11"/>
        <color theme="1"/>
        <rFont val="Calibri"/>
        <family val="2"/>
        <scheme val="minor"/>
      </rPr>
      <t>pmrA</t>
    </r>
    <r>
      <rPr>
        <sz val="11"/>
        <color theme="1"/>
        <rFont val="Calibri"/>
        <family val="2"/>
        <scheme val="minor"/>
      </rPr>
      <t xml:space="preserve"> ∆</t>
    </r>
    <r>
      <rPr>
        <i/>
        <sz val="11"/>
        <color theme="1"/>
        <rFont val="Calibri"/>
        <family val="2"/>
        <scheme val="minor"/>
      </rPr>
      <t>priM</t>
    </r>
  </si>
  <si>
    <r>
      <t>LVS ∆</t>
    </r>
    <r>
      <rPr>
        <i/>
        <sz val="11"/>
        <color theme="1"/>
        <rFont val="Calibri"/>
        <family val="2"/>
        <scheme val="minor"/>
      </rPr>
      <t>pigR</t>
    </r>
  </si>
  <si>
    <r>
      <t>LVS ∆</t>
    </r>
    <r>
      <rPr>
        <i/>
        <sz val="12"/>
        <color theme="1"/>
        <rFont val="Calibri"/>
        <family val="2"/>
        <scheme val="minor"/>
      </rPr>
      <t>pmrA</t>
    </r>
  </si>
  <si>
    <r>
      <t>LVS ∆</t>
    </r>
    <r>
      <rPr>
        <i/>
        <sz val="12"/>
        <color theme="1"/>
        <rFont val="Calibri"/>
        <family val="2"/>
        <scheme val="minor"/>
      </rPr>
      <t>pmrA</t>
    </r>
    <r>
      <rPr>
        <sz val="12"/>
        <color theme="1"/>
        <rFont val="Calibri"/>
        <family val="2"/>
        <scheme val="minor"/>
      </rPr>
      <t xml:space="preserve"> ∆</t>
    </r>
    <r>
      <rPr>
        <i/>
        <sz val="12"/>
        <color theme="1"/>
        <rFont val="Calibri"/>
        <family val="2"/>
        <scheme val="minor"/>
      </rPr>
      <t>priM</t>
    </r>
  </si>
  <si>
    <r>
      <t>LVS ∆</t>
    </r>
    <r>
      <rPr>
        <i/>
        <sz val="12"/>
        <color theme="1"/>
        <rFont val="Calibri"/>
        <family val="2"/>
        <scheme val="minor"/>
      </rPr>
      <t>pigR</t>
    </r>
  </si>
  <si>
    <t>Average Ratio</t>
  </si>
  <si>
    <t>Per well</t>
  </si>
  <si>
    <t>Averaged first</t>
  </si>
  <si>
    <t>LVS Tn7::GFP</t>
  </si>
  <si>
    <t>For final vol 1.4 mL at 0.2</t>
  </si>
  <si>
    <t>Need 0.005 of 2 strains in 1.3 mL</t>
  </si>
  <si>
    <t>LVS ∆pigR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</si>
</sst>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"/>
    <numFmt numFmtId="166" formatCode="0.000"/>
    <numFmt numFmtId="167" formatCode="0.000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2" fontId="0" fillId="0" borderId="1" xfId="0" applyNumberFormat="1" applyBorder="1"/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11" fontId="0" fillId="0" borderId="0" xfId="0" applyNumberFormat="1" applyBorder="1"/>
    <xf numFmtId="164" fontId="0" fillId="0" borderId="0" xfId="0" applyNumberFormat="1" applyBorder="1"/>
    <xf numFmtId="0" fontId="1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166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9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right"/>
    </xf>
    <xf numFmtId="166" fontId="0" fillId="0" borderId="1" xfId="0" applyNumberForma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6" xfId="0" applyFont="1" applyBorder="1"/>
    <xf numFmtId="0" fontId="3" fillId="3" borderId="6" xfId="0" applyFont="1" applyFill="1" applyBorder="1" applyAlignment="1">
      <alignment wrapText="1"/>
    </xf>
    <xf numFmtId="0" fontId="10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20" fontId="0" fillId="0" borderId="0" xfId="0" applyNumberFormat="1"/>
    <xf numFmtId="0" fontId="1" fillId="0" borderId="8" xfId="0" applyFont="1" applyBorder="1" applyAlignment="1"/>
    <xf numFmtId="0" fontId="0" fillId="0" borderId="0" xfId="0" applyNumberForma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5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11" fontId="0" fillId="0" borderId="7" xfId="0" applyNumberFormat="1" applyBorder="1"/>
    <xf numFmtId="0" fontId="0" fillId="0" borderId="7" xfId="0" applyBorder="1"/>
    <xf numFmtId="11" fontId="0" fillId="2" borderId="7" xfId="0" applyNumberFormat="1" applyFill="1" applyBorder="1"/>
    <xf numFmtId="164" fontId="0" fillId="0" borderId="7" xfId="0" applyNumberFormat="1" applyBorder="1"/>
    <xf numFmtId="0" fontId="0" fillId="0" borderId="1" xfId="0" applyNumberFormat="1" applyBorder="1"/>
    <xf numFmtId="0" fontId="3" fillId="0" borderId="1" xfId="0" applyFont="1" applyBorder="1" applyAlignment="1">
      <alignment horizontal="right"/>
    </xf>
    <xf numFmtId="167" fontId="0" fillId="0" borderId="1" xfId="0" applyNumberFormat="1" applyBorder="1" applyAlignment="1">
      <alignment horizontal="right"/>
    </xf>
    <xf numFmtId="164" fontId="0" fillId="0" borderId="0" xfId="0" applyNumberFormat="1"/>
    <xf numFmtId="0" fontId="0" fillId="0" borderId="1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2" fontId="0" fillId="0" borderId="0" xfId="0" applyNumberFormat="1"/>
    <xf numFmtId="11" fontId="0" fillId="0" borderId="1" xfId="0" applyNumberFormat="1" applyFill="1" applyBorder="1"/>
    <xf numFmtId="164" fontId="0" fillId="0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1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Inoculum!$A$28</c:f>
              <c:strCache>
                <c:ptCount val="1"/>
                <c:pt idx="0">
                  <c:v>ALL CELLS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Inoculum!$C$30:$C$33</c:f>
                <c:numCache>
                  <c:formatCode>General</c:formatCode>
                  <c:ptCount val="4"/>
                  <c:pt idx="0">
                    <c:v>212132.03435596428</c:v>
                  </c:pt>
                  <c:pt idx="1">
                    <c:v>777817.4593052027</c:v>
                  </c:pt>
                  <c:pt idx="2">
                    <c:v>388908.72965260118</c:v>
                  </c:pt>
                  <c:pt idx="3">
                    <c:v>601040.76400856546</c:v>
                  </c:pt>
                </c:numCache>
              </c:numRef>
            </c:plus>
            <c:minus>
              <c:numRef>
                <c:f>Inoculum!$C$30:$C$33</c:f>
                <c:numCache>
                  <c:formatCode>General</c:formatCode>
                  <c:ptCount val="4"/>
                  <c:pt idx="0">
                    <c:v>212132.03435596428</c:v>
                  </c:pt>
                  <c:pt idx="1">
                    <c:v>777817.4593052027</c:v>
                  </c:pt>
                  <c:pt idx="2">
                    <c:v>388908.72965260118</c:v>
                  </c:pt>
                  <c:pt idx="3">
                    <c:v>601040.76400856546</c:v>
                  </c:pt>
                </c:numCache>
              </c:numRef>
            </c:minus>
          </c:errBars>
          <c:cat>
            <c:strRef>
              <c:f>Inoculum!$A$30:$A$33</c:f>
              <c:strCache>
                <c:ptCount val="4"/>
                <c:pt idx="0">
                  <c:v>LVS</c:v>
                </c:pt>
                <c:pt idx="1">
                  <c:v>LVS ∆pmrA</c:v>
                </c:pt>
                <c:pt idx="2">
                  <c:v>LVS ∆pmrA ∆priM</c:v>
                </c:pt>
                <c:pt idx="3">
                  <c:v>LVS ∆pigR</c:v>
                </c:pt>
              </c:strCache>
            </c:strRef>
          </c:cat>
          <c:val>
            <c:numRef>
              <c:f>Inoculum!$B$30:$B$33</c:f>
              <c:numCache>
                <c:formatCode>0.00E+00</c:formatCode>
                <c:ptCount val="4"/>
                <c:pt idx="0">
                  <c:v>2950000</c:v>
                </c:pt>
                <c:pt idx="1">
                  <c:v>1449999.9999999998</c:v>
                </c:pt>
                <c:pt idx="2">
                  <c:v>2875000</c:v>
                </c:pt>
                <c:pt idx="3">
                  <c:v>2174999.9999999995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7-A0E9-F3AA82FF691F}"/>
            </c:ext>
          </c:extLst>
        </c:ser>
        <c:ser>
          <c:idx val="1"/>
          <c:order val="1"/>
          <c:tx>
            <c:strRef>
              <c:f>Inoculum!$A$35</c:f>
              <c:strCache>
                <c:ptCount val="1"/>
                <c:pt idx="0">
                  <c:v>KanR CELLS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Inoculum!$C$37:$C$40</c:f>
                <c:numCache>
                  <c:formatCode>General</c:formatCode>
                  <c:ptCount val="4"/>
                  <c:pt idx="0">
                    <c:v>35355.339059327373</c:v>
                  </c:pt>
                  <c:pt idx="1">
                    <c:v>212132.03435596428</c:v>
                  </c:pt>
                  <c:pt idx="2">
                    <c:v>212132.03435596498</c:v>
                  </c:pt>
                  <c:pt idx="3">
                    <c:v>35355.339059327373</c:v>
                  </c:pt>
                </c:numCache>
              </c:numRef>
            </c:plus>
            <c:minus>
              <c:numRef>
                <c:f>Inoculum!$C$37:$C$40</c:f>
                <c:numCache>
                  <c:formatCode>General</c:formatCode>
                  <c:ptCount val="4"/>
                  <c:pt idx="0">
                    <c:v>35355.339059327373</c:v>
                  </c:pt>
                  <c:pt idx="1">
                    <c:v>212132.03435596428</c:v>
                  </c:pt>
                  <c:pt idx="2">
                    <c:v>212132.03435596498</c:v>
                  </c:pt>
                  <c:pt idx="3">
                    <c:v>35355.339059327373</c:v>
                  </c:pt>
                </c:numCache>
              </c:numRef>
            </c:minus>
          </c:errBars>
          <c:val>
            <c:numRef>
              <c:f>Inoculum!$B$37:$B$40</c:f>
              <c:numCache>
                <c:formatCode>0.00E+00</c:formatCode>
                <c:ptCount val="4"/>
                <c:pt idx="0">
                  <c:v>1024999.9999999999</c:v>
                </c:pt>
                <c:pt idx="1">
                  <c:v>1149999.9999999998</c:v>
                </c:pt>
                <c:pt idx="2">
                  <c:v>1049999.9999999998</c:v>
                </c:pt>
                <c:pt idx="3">
                  <c:v>1375000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1-7B44-9D3D-860B4FBCD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812688821752266E-2"/>
              <c:y val="0.14872896920056575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'T=2'!$O$3:$O$8</c:f>
                <c:numCache>
                  <c:formatCode>General</c:formatCode>
                  <c:ptCount val="6"/>
                  <c:pt idx="0">
                    <c:v>3312.119160497296</c:v>
                  </c:pt>
                  <c:pt idx="1">
                    <c:v>727.53006810715385</c:v>
                  </c:pt>
                  <c:pt idx="2">
                    <c:v>531.13086899558004</c:v>
                  </c:pt>
                  <c:pt idx="3">
                    <c:v>802.14296315141553</c:v>
                  </c:pt>
                  <c:pt idx="4">
                    <c:v>2235.8294508600861</c:v>
                  </c:pt>
                  <c:pt idx="5">
                    <c:v>1818.4883832458211</c:v>
                  </c:pt>
                </c:numCache>
              </c:numRef>
            </c:plus>
            <c:minus>
              <c:numRef>
                <c:f>'T=2'!$O$3:$O$8</c:f>
                <c:numCache>
                  <c:formatCode>General</c:formatCode>
                  <c:ptCount val="6"/>
                  <c:pt idx="0">
                    <c:v>3312.119160497296</c:v>
                  </c:pt>
                  <c:pt idx="1">
                    <c:v>727.53006810715385</c:v>
                  </c:pt>
                  <c:pt idx="2">
                    <c:v>531.13086899558004</c:v>
                  </c:pt>
                  <c:pt idx="3">
                    <c:v>802.14296315141553</c:v>
                  </c:pt>
                  <c:pt idx="4">
                    <c:v>2235.8294508600861</c:v>
                  </c:pt>
                  <c:pt idx="5">
                    <c:v>1818.4883832458211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multiLvlStrRef>
              <c:f>'T=2'!$L$3:$M$10</c:f>
              <c:multiLvlStrCache>
                <c:ptCount val="8"/>
                <c:lvl>
                  <c:pt idx="0">
                    <c:v>CHA</c:v>
                  </c:pt>
                  <c:pt idx="1">
                    <c:v>CHA-Kan</c:v>
                  </c:pt>
                  <c:pt idx="2">
                    <c:v>CHA</c:v>
                  </c:pt>
                  <c:pt idx="3">
                    <c:v>CHA-Kan</c:v>
                  </c:pt>
                  <c:pt idx="4">
                    <c:v>CHA</c:v>
                  </c:pt>
                  <c:pt idx="5">
                    <c:v>CHA-Kan</c:v>
                  </c:pt>
                  <c:pt idx="6">
                    <c:v>CHA</c:v>
                  </c:pt>
                  <c:pt idx="7">
                    <c:v>CHA-Kan</c:v>
                  </c:pt>
                </c:lvl>
                <c:lvl>
                  <c:pt idx="0">
                    <c:v>LVS</c:v>
                  </c:pt>
                  <c:pt idx="2">
                    <c:v>∆pmrA</c:v>
                  </c:pt>
                  <c:pt idx="4">
                    <c:v>∆pmrA ∆priM </c:v>
                  </c:pt>
                  <c:pt idx="6">
                    <c:v>∆pigR</c:v>
                  </c:pt>
                </c:lvl>
              </c:multiLvlStrCache>
            </c:multiLvlStrRef>
          </c:cat>
          <c:val>
            <c:numRef>
              <c:f>'T=2'!$N$3:$N$10</c:f>
              <c:numCache>
                <c:formatCode>0.00E+00</c:formatCode>
                <c:ptCount val="8"/>
                <c:pt idx="0">
                  <c:v>16716.666666666668</c:v>
                </c:pt>
                <c:pt idx="1">
                  <c:v>8330</c:v>
                </c:pt>
                <c:pt idx="2">
                  <c:v>7510</c:v>
                </c:pt>
                <c:pt idx="3">
                  <c:v>7673.333333333333</c:v>
                </c:pt>
                <c:pt idx="4">
                  <c:v>13396.666666666666</c:v>
                </c:pt>
                <c:pt idx="5">
                  <c:v>7290</c:v>
                </c:pt>
                <c:pt idx="6">
                  <c:v>10046.666666666666</c:v>
                </c:pt>
                <c:pt idx="7">
                  <c:v>6453.333333333333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1-47C7-BF3C-EF64641E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Recovered</a:t>
                </a:r>
              </a:p>
            </c:rich>
          </c:tx>
          <c:layout>
            <c:manualLayout>
              <c:xMode val="edge"/>
              <c:yMode val="edge"/>
              <c:x val="4.1825156470825763E-2"/>
              <c:y val="0.2257041228106669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88525962803647E-2"/>
          <c:y val="4.4444444444444398E-2"/>
          <c:w val="0.86801383964250389"/>
          <c:h val="0.68508909027880949"/>
        </c:manualLayout>
      </c:layout>
      <c:barChart>
        <c:barDir val="col"/>
        <c:grouping val="clustered"/>
        <c:varyColors val="0"/>
        <c:ser>
          <c:idx val="1"/>
          <c:order val="0"/>
          <c:tx>
            <c:v>T=2</c:v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'T=24'!$AC$3:$AC$10</c:f>
                <c:numCache>
                  <c:formatCode>General</c:formatCode>
                  <c:ptCount val="8"/>
                  <c:pt idx="0">
                    <c:v>3312.119160497296</c:v>
                  </c:pt>
                  <c:pt idx="1">
                    <c:v>727.53006810715385</c:v>
                  </c:pt>
                  <c:pt idx="2">
                    <c:v>531.13086899558004</c:v>
                  </c:pt>
                  <c:pt idx="3">
                    <c:v>802.14296315141553</c:v>
                  </c:pt>
                  <c:pt idx="4">
                    <c:v>2235.8294508600861</c:v>
                  </c:pt>
                  <c:pt idx="5">
                    <c:v>1818.4883832458211</c:v>
                  </c:pt>
                  <c:pt idx="6">
                    <c:v>643.60961252403104</c:v>
                  </c:pt>
                  <c:pt idx="7">
                    <c:v>1075.9801732993669</c:v>
                  </c:pt>
                </c:numCache>
              </c:numRef>
            </c:plus>
            <c:minus>
              <c:numRef>
                <c:f>'T=24'!$AC$3:$AC$10</c:f>
                <c:numCache>
                  <c:formatCode>General</c:formatCode>
                  <c:ptCount val="8"/>
                  <c:pt idx="0">
                    <c:v>3312.119160497296</c:v>
                  </c:pt>
                  <c:pt idx="1">
                    <c:v>727.53006810715385</c:v>
                  </c:pt>
                  <c:pt idx="2">
                    <c:v>531.13086899558004</c:v>
                  </c:pt>
                  <c:pt idx="3">
                    <c:v>802.14296315141553</c:v>
                  </c:pt>
                  <c:pt idx="4">
                    <c:v>2235.8294508600861</c:v>
                  </c:pt>
                  <c:pt idx="5">
                    <c:v>1818.4883832458211</c:v>
                  </c:pt>
                  <c:pt idx="6">
                    <c:v>643.60961252403104</c:v>
                  </c:pt>
                  <c:pt idx="7">
                    <c:v>1075.9801732993669</c:v>
                  </c:pt>
                </c:numCache>
              </c:numRef>
            </c:minus>
          </c:errBars>
          <c:cat>
            <c:multiLvlStrRef>
              <c:f>'T=24'!$Z$3:$AA$10</c:f>
              <c:multiLvlStrCache>
                <c:ptCount val="8"/>
                <c:lvl>
                  <c:pt idx="0">
                    <c:v>CHA</c:v>
                  </c:pt>
                  <c:pt idx="1">
                    <c:v>CHA-Kan</c:v>
                  </c:pt>
                  <c:pt idx="2">
                    <c:v>CHA</c:v>
                  </c:pt>
                  <c:pt idx="3">
                    <c:v>CHA-Kan</c:v>
                  </c:pt>
                  <c:pt idx="4">
                    <c:v>CHA</c:v>
                  </c:pt>
                  <c:pt idx="5">
                    <c:v>CHA-Kan</c:v>
                  </c:pt>
                  <c:pt idx="6">
                    <c:v>CHA</c:v>
                  </c:pt>
                  <c:pt idx="7">
                    <c:v>CHA-Kan</c:v>
                  </c:pt>
                </c:lvl>
                <c:lvl>
                  <c:pt idx="0">
                    <c:v>LVS</c:v>
                  </c:pt>
                  <c:pt idx="2">
                    <c:v>∆pmrA</c:v>
                  </c:pt>
                  <c:pt idx="4">
                    <c:v>∆pmrA ∆priM </c:v>
                  </c:pt>
                  <c:pt idx="6">
                    <c:v>∆pigR</c:v>
                  </c:pt>
                </c:lvl>
              </c:multiLvlStrCache>
            </c:multiLvlStrRef>
          </c:cat>
          <c:val>
            <c:numRef>
              <c:f>'T=24'!$AB$3:$AB$10</c:f>
              <c:numCache>
                <c:formatCode>0.00E+00</c:formatCode>
                <c:ptCount val="8"/>
                <c:pt idx="0">
                  <c:v>16716.666666666668</c:v>
                </c:pt>
                <c:pt idx="1">
                  <c:v>8330</c:v>
                </c:pt>
                <c:pt idx="2">
                  <c:v>7510</c:v>
                </c:pt>
                <c:pt idx="3">
                  <c:v>7673.333333333333</c:v>
                </c:pt>
                <c:pt idx="4">
                  <c:v>13396.666666666666</c:v>
                </c:pt>
                <c:pt idx="5">
                  <c:v>7290</c:v>
                </c:pt>
                <c:pt idx="6">
                  <c:v>10046.666666666666</c:v>
                </c:pt>
                <c:pt idx="7">
                  <c:v>6453.333333333333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E9-334C-B879-04F7AF655FB0}"/>
            </c:ext>
          </c:extLst>
        </c:ser>
        <c:ser>
          <c:idx val="0"/>
          <c:order val="1"/>
          <c:tx>
            <c:v>T=24</c:v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'T=24'!$S$3:$S$10</c:f>
                <c:numCache>
                  <c:formatCode>General</c:formatCode>
                  <c:ptCount val="8"/>
                  <c:pt idx="0">
                    <c:v>2500166.6611114834</c:v>
                  </c:pt>
                  <c:pt idx="1">
                    <c:v>1126942.7669584644</c:v>
                  </c:pt>
                  <c:pt idx="2">
                    <c:v>852936.10546159442</c:v>
                  </c:pt>
                  <c:pt idx="3">
                    <c:v>436844.74740270525</c:v>
                  </c:pt>
                  <c:pt idx="4">
                    <c:v>3030264.0149003519</c:v>
                  </c:pt>
                  <c:pt idx="5">
                    <c:v>2496497.5465639858</c:v>
                  </c:pt>
                  <c:pt idx="6">
                    <c:v>500000</c:v>
                  </c:pt>
                  <c:pt idx="7">
                    <c:v>259807.6211353316</c:v>
                  </c:pt>
                </c:numCache>
              </c:numRef>
            </c:plus>
            <c:minus>
              <c:numRef>
                <c:f>'T=24'!$S$3:$S$10</c:f>
                <c:numCache>
                  <c:formatCode>General</c:formatCode>
                  <c:ptCount val="8"/>
                  <c:pt idx="0">
                    <c:v>2500166.6611114834</c:v>
                  </c:pt>
                  <c:pt idx="1">
                    <c:v>1126942.7669584644</c:v>
                  </c:pt>
                  <c:pt idx="2">
                    <c:v>852936.10546159442</c:v>
                  </c:pt>
                  <c:pt idx="3">
                    <c:v>436844.74740270525</c:v>
                  </c:pt>
                  <c:pt idx="4">
                    <c:v>3030264.0149003519</c:v>
                  </c:pt>
                  <c:pt idx="5">
                    <c:v>2496497.5465639858</c:v>
                  </c:pt>
                  <c:pt idx="6">
                    <c:v>500000</c:v>
                  </c:pt>
                  <c:pt idx="7">
                    <c:v>259807.6211353316</c:v>
                  </c:pt>
                </c:numCache>
              </c:numRef>
            </c:minus>
          </c:errBars>
          <c:cat>
            <c:multiLvlStrRef>
              <c:f>'T=24'!$Z$3:$AA$10</c:f>
              <c:multiLvlStrCache>
                <c:ptCount val="8"/>
                <c:lvl>
                  <c:pt idx="0">
                    <c:v>CHA</c:v>
                  </c:pt>
                  <c:pt idx="1">
                    <c:v>CHA-Kan</c:v>
                  </c:pt>
                  <c:pt idx="2">
                    <c:v>CHA</c:v>
                  </c:pt>
                  <c:pt idx="3">
                    <c:v>CHA-Kan</c:v>
                  </c:pt>
                  <c:pt idx="4">
                    <c:v>CHA</c:v>
                  </c:pt>
                  <c:pt idx="5">
                    <c:v>CHA-Kan</c:v>
                  </c:pt>
                  <c:pt idx="6">
                    <c:v>CHA</c:v>
                  </c:pt>
                  <c:pt idx="7">
                    <c:v>CHA-Kan</c:v>
                  </c:pt>
                </c:lvl>
                <c:lvl>
                  <c:pt idx="0">
                    <c:v>LVS</c:v>
                  </c:pt>
                  <c:pt idx="2">
                    <c:v>∆pmrA</c:v>
                  </c:pt>
                  <c:pt idx="4">
                    <c:v>∆pmrA ∆priM </c:v>
                  </c:pt>
                  <c:pt idx="6">
                    <c:v>∆pigR</c:v>
                  </c:pt>
                </c:lvl>
              </c:multiLvlStrCache>
            </c:multiLvlStrRef>
          </c:cat>
          <c:val>
            <c:numRef>
              <c:f>'T=24'!$R$3:$R$10</c:f>
              <c:numCache>
                <c:formatCode>0.00E+00</c:formatCode>
                <c:ptCount val="8"/>
                <c:pt idx="0">
                  <c:v>10783333.33333333</c:v>
                </c:pt>
                <c:pt idx="1">
                  <c:v>4250000</c:v>
                </c:pt>
                <c:pt idx="2">
                  <c:v>5200000</c:v>
                </c:pt>
                <c:pt idx="3">
                  <c:v>5033333.333333333</c:v>
                </c:pt>
                <c:pt idx="4">
                  <c:v>7900000</c:v>
                </c:pt>
                <c:pt idx="5">
                  <c:v>6750000</c:v>
                </c:pt>
                <c:pt idx="6">
                  <c:v>4000000</c:v>
                </c:pt>
                <c:pt idx="7">
                  <c:v>3699999.9999999995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C-4C65-8408-3AE54090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08907762692323"/>
          <c:y val="3.5385443606688209E-2"/>
          <c:w val="0.1491030471311019"/>
          <c:h val="7.6257621154843164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'T=24'!$AM$3</c:f>
              <c:strCache>
                <c:ptCount val="1"/>
                <c:pt idx="0">
                  <c:v>CHA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'T=24'!$AO$3:$AO$6</c:f>
                <c:numCache>
                  <c:formatCode>General</c:formatCode>
                  <c:ptCount val="4"/>
                  <c:pt idx="0">
                    <c:v>174.88435848873061</c:v>
                  </c:pt>
                  <c:pt idx="1">
                    <c:v>139.17909448301054</c:v>
                  </c:pt>
                  <c:pt idx="2">
                    <c:v>117.03665502053185</c:v>
                  </c:pt>
                  <c:pt idx="3">
                    <c:v>64.098394606012036</c:v>
                  </c:pt>
                </c:numCache>
              </c:numRef>
            </c:plus>
            <c:minus>
              <c:numRef>
                <c:f>'T=24'!$AO$3:$AO$6</c:f>
                <c:numCache>
                  <c:formatCode>General</c:formatCode>
                  <c:ptCount val="4"/>
                  <c:pt idx="0">
                    <c:v>174.88435848873061</c:v>
                  </c:pt>
                  <c:pt idx="1">
                    <c:v>139.17909448301054</c:v>
                  </c:pt>
                  <c:pt idx="2">
                    <c:v>117.03665502053185</c:v>
                  </c:pt>
                  <c:pt idx="3">
                    <c:v>64.098394606012036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'T=24'!$AS$3:$AT$6</c:f>
              <c:strCache>
                <c:ptCount val="4"/>
                <c:pt idx="0">
                  <c:v>LVS</c:v>
                </c:pt>
                <c:pt idx="1">
                  <c:v>LVS ∆pmrA</c:v>
                </c:pt>
                <c:pt idx="2">
                  <c:v>LVS ∆pmrA ∆priM</c:v>
                </c:pt>
                <c:pt idx="3">
                  <c:v>LVS ∆pigR</c:v>
                </c:pt>
              </c:strCache>
            </c:strRef>
          </c:cat>
          <c:val>
            <c:numRef>
              <c:f>('T=24'!$AN$3,'T=24'!$AN$5,'T=24'!$AN$7,'T=24'!$AN$9)</c:f>
              <c:numCache>
                <c:formatCode>0.00E+00</c:formatCode>
                <c:ptCount val="4"/>
                <c:pt idx="0">
                  <c:v>645.06480558325006</c:v>
                </c:pt>
                <c:pt idx="1">
                  <c:v>692.41011984021304</c:v>
                </c:pt>
                <c:pt idx="2">
                  <c:v>589.69893008211</c:v>
                </c:pt>
                <c:pt idx="3">
                  <c:v>398.14200398142009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6-3E42-8875-0DB61D4FF677}"/>
            </c:ext>
          </c:extLst>
        </c:ser>
        <c:ser>
          <c:idx val="0"/>
          <c:order val="1"/>
          <c:tx>
            <c:strRef>
              <c:f>'T=24'!$AM$4</c:f>
              <c:strCache>
                <c:ptCount val="1"/>
                <c:pt idx="0">
                  <c:v>CHA-Kan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'T=24'!$AO$7:$AO$10</c:f>
                <c:numCache>
                  <c:formatCode>General</c:formatCode>
                  <c:ptCount val="4"/>
                  <c:pt idx="0">
                    <c:v>242.62070605065196</c:v>
                  </c:pt>
                  <c:pt idx="1">
                    <c:v>400.07096853452975</c:v>
                  </c:pt>
                  <c:pt idx="2">
                    <c:v>51.401701598075533</c:v>
                  </c:pt>
                  <c:pt idx="3">
                    <c:v>56.19833151605836</c:v>
                  </c:pt>
                </c:numCache>
              </c:numRef>
            </c:plus>
            <c:minus>
              <c:numRef>
                <c:f>'T=24'!$AO$7:$AO$10</c:f>
                <c:numCache>
                  <c:formatCode>General</c:formatCode>
                  <c:ptCount val="4"/>
                  <c:pt idx="0">
                    <c:v>242.62070605065196</c:v>
                  </c:pt>
                  <c:pt idx="1">
                    <c:v>400.07096853452975</c:v>
                  </c:pt>
                  <c:pt idx="2">
                    <c:v>51.401701598075533</c:v>
                  </c:pt>
                  <c:pt idx="3">
                    <c:v>56.19833151605836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'T=24'!$AS$3:$AT$6</c:f>
              <c:strCache>
                <c:ptCount val="4"/>
                <c:pt idx="0">
                  <c:v>LVS</c:v>
                </c:pt>
                <c:pt idx="1">
                  <c:v>LVS ∆pmrA</c:v>
                </c:pt>
                <c:pt idx="2">
                  <c:v>LVS ∆pmrA ∆priM</c:v>
                </c:pt>
                <c:pt idx="3">
                  <c:v>LVS ∆pigR</c:v>
                </c:pt>
              </c:strCache>
            </c:strRef>
          </c:cat>
          <c:val>
            <c:numRef>
              <c:f>('T=24'!$AN$4,'T=24'!$AN$6,'T=24'!$AN$8,'T=24'!$AN$10)</c:f>
              <c:numCache>
                <c:formatCode>0.00E+00</c:formatCode>
                <c:ptCount val="4"/>
                <c:pt idx="0">
                  <c:v>510.20408163265307</c:v>
                </c:pt>
                <c:pt idx="1">
                  <c:v>655.95134665508249</c:v>
                </c:pt>
                <c:pt idx="2">
                  <c:v>925.92592592592598</c:v>
                </c:pt>
                <c:pt idx="3">
                  <c:v>573.34710743801645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6-3E42-8875-0DB61D4FF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86112"/>
        <c:axId val="401905744"/>
      </c:barChart>
      <c:catAx>
        <c:axId val="4018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905744"/>
        <c:crossesAt val="0.1"/>
        <c:auto val="1"/>
        <c:lblAlgn val="ctr"/>
        <c:lblOffset val="100"/>
        <c:noMultiLvlLbl val="0"/>
      </c:catAx>
      <c:valAx>
        <c:axId val="40190574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Bacterial Growth</a:t>
                </a:r>
              </a:p>
              <a:p>
                <a:pPr>
                  <a:defRPr sz="1600" b="1"/>
                </a:pPr>
                <a:r>
                  <a:rPr lang="en-US" sz="1600" b="1"/>
                  <a:t>(Fold Change)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88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364785008752608"/>
          <c:y val="6.9421589738608416E-2"/>
          <c:w val="0.40423638378386079"/>
          <c:h val="8.4751260121121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88525962803647E-2"/>
          <c:y val="4.4444444444444398E-2"/>
          <c:w val="0.81558758141088838"/>
          <c:h val="0.68508909027880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'T=24'!$R$2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'T=24'!$S$3:$S$10</c:f>
                <c:numCache>
                  <c:formatCode>General</c:formatCode>
                  <c:ptCount val="8"/>
                  <c:pt idx="0">
                    <c:v>2500166.6611114834</c:v>
                  </c:pt>
                  <c:pt idx="1">
                    <c:v>1126942.7669584644</c:v>
                  </c:pt>
                  <c:pt idx="2">
                    <c:v>852936.10546159442</c:v>
                  </c:pt>
                  <c:pt idx="3">
                    <c:v>436844.74740270525</c:v>
                  </c:pt>
                  <c:pt idx="4">
                    <c:v>3030264.0149003519</c:v>
                  </c:pt>
                  <c:pt idx="5">
                    <c:v>2496497.5465639858</c:v>
                  </c:pt>
                  <c:pt idx="6">
                    <c:v>500000</c:v>
                  </c:pt>
                  <c:pt idx="7">
                    <c:v>259807.6211353316</c:v>
                  </c:pt>
                </c:numCache>
              </c:numRef>
            </c:plus>
            <c:minus>
              <c:numRef>
                <c:f>'T=24'!$S$3:$S$10</c:f>
                <c:numCache>
                  <c:formatCode>General</c:formatCode>
                  <c:ptCount val="8"/>
                  <c:pt idx="0">
                    <c:v>2500166.6611114834</c:v>
                  </c:pt>
                  <c:pt idx="1">
                    <c:v>1126942.7669584644</c:v>
                  </c:pt>
                  <c:pt idx="2">
                    <c:v>852936.10546159442</c:v>
                  </c:pt>
                  <c:pt idx="3">
                    <c:v>436844.74740270525</c:v>
                  </c:pt>
                  <c:pt idx="4">
                    <c:v>3030264.0149003519</c:v>
                  </c:pt>
                  <c:pt idx="5">
                    <c:v>2496497.5465639858</c:v>
                  </c:pt>
                  <c:pt idx="6">
                    <c:v>500000</c:v>
                  </c:pt>
                  <c:pt idx="7">
                    <c:v>259807.6211353316</c:v>
                  </c:pt>
                </c:numCache>
              </c:numRef>
            </c:minus>
          </c:errBars>
          <c:cat>
            <c:strRef>
              <c:f>'T=24'!$P$3:$P$10</c:f>
              <c:strCache>
                <c:ptCount val="7"/>
                <c:pt idx="0">
                  <c:v>LVS</c:v>
                </c:pt>
                <c:pt idx="2">
                  <c:v>∆pmrA</c:v>
                </c:pt>
                <c:pt idx="4">
                  <c:v>∆pmrA ∆priM </c:v>
                </c:pt>
                <c:pt idx="6">
                  <c:v>∆pigR</c:v>
                </c:pt>
              </c:strCache>
            </c:strRef>
          </c:cat>
          <c:val>
            <c:numRef>
              <c:f>'T=24'!$R$3:$R$10</c:f>
              <c:numCache>
                <c:formatCode>0.00E+00</c:formatCode>
                <c:ptCount val="8"/>
                <c:pt idx="0">
                  <c:v>10783333.33333333</c:v>
                </c:pt>
                <c:pt idx="1">
                  <c:v>4250000</c:v>
                </c:pt>
                <c:pt idx="2">
                  <c:v>5200000</c:v>
                </c:pt>
                <c:pt idx="3">
                  <c:v>5033333.333333333</c:v>
                </c:pt>
                <c:pt idx="4">
                  <c:v>7900000</c:v>
                </c:pt>
                <c:pt idx="5">
                  <c:v>6750000</c:v>
                </c:pt>
                <c:pt idx="6">
                  <c:v>4000000</c:v>
                </c:pt>
                <c:pt idx="7">
                  <c:v>3699999.9999999995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B-6648-B35A-5947E382D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'T=24'!$S$3:$S$10</c:f>
                <c:numCache>
                  <c:formatCode>General</c:formatCode>
                  <c:ptCount val="8"/>
                  <c:pt idx="0">
                    <c:v>2500166.6611114834</c:v>
                  </c:pt>
                  <c:pt idx="1">
                    <c:v>1126942.7669584644</c:v>
                  </c:pt>
                  <c:pt idx="2">
                    <c:v>852936.10546159442</c:v>
                  </c:pt>
                  <c:pt idx="3">
                    <c:v>436844.74740270525</c:v>
                  </c:pt>
                  <c:pt idx="4">
                    <c:v>3030264.0149003519</c:v>
                  </c:pt>
                  <c:pt idx="5">
                    <c:v>2496497.5465639858</c:v>
                  </c:pt>
                  <c:pt idx="6">
                    <c:v>500000</c:v>
                  </c:pt>
                  <c:pt idx="7">
                    <c:v>259807.6211353316</c:v>
                  </c:pt>
                </c:numCache>
              </c:numRef>
            </c:plus>
            <c:minus>
              <c:numRef>
                <c:f>'T=24'!$S$3:$S$10</c:f>
                <c:numCache>
                  <c:formatCode>General</c:formatCode>
                  <c:ptCount val="8"/>
                  <c:pt idx="0">
                    <c:v>2500166.6611114834</c:v>
                  </c:pt>
                  <c:pt idx="1">
                    <c:v>1126942.7669584644</c:v>
                  </c:pt>
                  <c:pt idx="2">
                    <c:v>852936.10546159442</c:v>
                  </c:pt>
                  <c:pt idx="3">
                    <c:v>436844.74740270525</c:v>
                  </c:pt>
                  <c:pt idx="4">
                    <c:v>3030264.0149003519</c:v>
                  </c:pt>
                  <c:pt idx="5">
                    <c:v>2496497.5465639858</c:v>
                  </c:pt>
                  <c:pt idx="6">
                    <c:v>500000</c:v>
                  </c:pt>
                  <c:pt idx="7">
                    <c:v>259807.6211353316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'T=24'!$P$3:$Q$10</c:f>
              <c:multiLvlStrCache>
                <c:ptCount val="8"/>
                <c:lvl>
                  <c:pt idx="0">
                    <c:v>CHA</c:v>
                  </c:pt>
                  <c:pt idx="1">
                    <c:v>CHA-Kan</c:v>
                  </c:pt>
                  <c:pt idx="2">
                    <c:v>CHA</c:v>
                  </c:pt>
                  <c:pt idx="3">
                    <c:v>CHA-Kan</c:v>
                  </c:pt>
                  <c:pt idx="4">
                    <c:v>CHA</c:v>
                  </c:pt>
                  <c:pt idx="5">
                    <c:v>CHA-Kan</c:v>
                  </c:pt>
                  <c:pt idx="6">
                    <c:v>CHA</c:v>
                  </c:pt>
                  <c:pt idx="7">
                    <c:v>CHA-Kan</c:v>
                  </c:pt>
                </c:lvl>
                <c:lvl>
                  <c:pt idx="0">
                    <c:v>LVS</c:v>
                  </c:pt>
                  <c:pt idx="2">
                    <c:v>∆pmrA</c:v>
                  </c:pt>
                  <c:pt idx="4">
                    <c:v>∆pmrA ∆priM </c:v>
                  </c:pt>
                  <c:pt idx="6">
                    <c:v>∆pigR</c:v>
                  </c:pt>
                </c:lvl>
              </c:multiLvlStrCache>
            </c:multiLvlStrRef>
          </c:cat>
          <c:val>
            <c:numRef>
              <c:f>'T=24'!$R$3:$R$10</c:f>
              <c:numCache>
                <c:formatCode>0.00E+00</c:formatCode>
                <c:ptCount val="8"/>
                <c:pt idx="0">
                  <c:v>10783333.33333333</c:v>
                </c:pt>
                <c:pt idx="1">
                  <c:v>4250000</c:v>
                </c:pt>
                <c:pt idx="2">
                  <c:v>5200000</c:v>
                </c:pt>
                <c:pt idx="3">
                  <c:v>5033333.333333333</c:v>
                </c:pt>
                <c:pt idx="4">
                  <c:v>7900000</c:v>
                </c:pt>
                <c:pt idx="5">
                  <c:v>6750000</c:v>
                </c:pt>
                <c:pt idx="6">
                  <c:v>4000000</c:v>
                </c:pt>
                <c:pt idx="7">
                  <c:v>3699999.9999999995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5-1D40-AC84-6A508873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2600863"/>
        <c:axId val="1122635695"/>
      </c:barChart>
      <c:catAx>
        <c:axId val="1122600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35695"/>
        <c:crosses val="autoZero"/>
        <c:auto val="1"/>
        <c:lblAlgn val="ctr"/>
        <c:lblOffset val="100"/>
        <c:noMultiLvlLbl val="0"/>
      </c:catAx>
      <c:valAx>
        <c:axId val="1122635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00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'T=24'!$S$3:$S$10</c:f>
                <c:numCache>
                  <c:formatCode>General</c:formatCode>
                  <c:ptCount val="8"/>
                  <c:pt idx="0">
                    <c:v>2500166.6611114834</c:v>
                  </c:pt>
                  <c:pt idx="1">
                    <c:v>1126942.7669584644</c:v>
                  </c:pt>
                  <c:pt idx="2">
                    <c:v>852936.10546159442</c:v>
                  </c:pt>
                  <c:pt idx="3">
                    <c:v>436844.74740270525</c:v>
                  </c:pt>
                  <c:pt idx="4">
                    <c:v>3030264.0149003519</c:v>
                  </c:pt>
                  <c:pt idx="5">
                    <c:v>2496497.5465639858</c:v>
                  </c:pt>
                  <c:pt idx="6">
                    <c:v>500000</c:v>
                  </c:pt>
                  <c:pt idx="7">
                    <c:v>259807.6211353316</c:v>
                  </c:pt>
                </c:numCache>
              </c:numRef>
            </c:plus>
            <c:minus>
              <c:numRef>
                <c:f>'T=24'!$S$3:$S$10</c:f>
                <c:numCache>
                  <c:formatCode>General</c:formatCode>
                  <c:ptCount val="8"/>
                  <c:pt idx="0">
                    <c:v>2500166.6611114834</c:v>
                  </c:pt>
                  <c:pt idx="1">
                    <c:v>1126942.7669584644</c:v>
                  </c:pt>
                  <c:pt idx="2">
                    <c:v>852936.10546159442</c:v>
                  </c:pt>
                  <c:pt idx="3">
                    <c:v>436844.74740270525</c:v>
                  </c:pt>
                  <c:pt idx="4">
                    <c:v>3030264.0149003519</c:v>
                  </c:pt>
                  <c:pt idx="5">
                    <c:v>2496497.5465639858</c:v>
                  </c:pt>
                  <c:pt idx="6">
                    <c:v>500000</c:v>
                  </c:pt>
                  <c:pt idx="7">
                    <c:v>259807.6211353316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'T=24'!$P$3:$Q$10</c:f>
              <c:multiLvlStrCache>
                <c:ptCount val="8"/>
                <c:lvl>
                  <c:pt idx="0">
                    <c:v>CHA</c:v>
                  </c:pt>
                  <c:pt idx="1">
                    <c:v>CHA-Kan</c:v>
                  </c:pt>
                  <c:pt idx="2">
                    <c:v>CHA</c:v>
                  </c:pt>
                  <c:pt idx="3">
                    <c:v>CHA-Kan</c:v>
                  </c:pt>
                  <c:pt idx="4">
                    <c:v>CHA</c:v>
                  </c:pt>
                  <c:pt idx="5">
                    <c:v>CHA-Kan</c:v>
                  </c:pt>
                  <c:pt idx="6">
                    <c:v>CHA</c:v>
                  </c:pt>
                  <c:pt idx="7">
                    <c:v>CHA-Kan</c:v>
                  </c:pt>
                </c:lvl>
                <c:lvl>
                  <c:pt idx="0">
                    <c:v>LVS</c:v>
                  </c:pt>
                  <c:pt idx="2">
                    <c:v>∆pmrA</c:v>
                  </c:pt>
                  <c:pt idx="4">
                    <c:v>∆pmrA ∆priM </c:v>
                  </c:pt>
                  <c:pt idx="6">
                    <c:v>∆pigR</c:v>
                  </c:pt>
                </c:lvl>
              </c:multiLvlStrCache>
            </c:multiLvlStrRef>
          </c:cat>
          <c:val>
            <c:numRef>
              <c:f>'T=24'!$R$3:$R$10</c:f>
              <c:numCache>
                <c:formatCode>0.00E+00</c:formatCode>
                <c:ptCount val="8"/>
                <c:pt idx="0">
                  <c:v>10783333.33333333</c:v>
                </c:pt>
                <c:pt idx="1">
                  <c:v>4250000</c:v>
                </c:pt>
                <c:pt idx="2">
                  <c:v>5200000</c:v>
                </c:pt>
                <c:pt idx="3">
                  <c:v>5033333.333333333</c:v>
                </c:pt>
                <c:pt idx="4">
                  <c:v>7900000</c:v>
                </c:pt>
                <c:pt idx="5">
                  <c:v>6750000</c:v>
                </c:pt>
                <c:pt idx="6">
                  <c:v>4000000</c:v>
                </c:pt>
                <c:pt idx="7">
                  <c:v>3699999.9999999995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3-3F4C-A67E-6FE270B51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2600863"/>
        <c:axId val="1122635695"/>
      </c:barChart>
      <c:catAx>
        <c:axId val="1122600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35695"/>
        <c:crosses val="autoZero"/>
        <c:auto val="1"/>
        <c:lblAlgn val="ctr"/>
        <c:lblOffset val="100"/>
        <c:noMultiLvlLbl val="0"/>
      </c:catAx>
      <c:valAx>
        <c:axId val="112263569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00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'SDS vs saponin'!$A$11:$A$16</c:f>
              <c:numCache>
                <c:formatCode>General</c:formatCode>
                <c:ptCount val="6"/>
                <c:pt idx="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4-9942-8EB6-450D141AB3E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'SDS vs saponin'!$B$11:$B$16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51.5</c:v>
                </c:pt>
                <c:pt idx="5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04-9942-8EB6-450D141AB3E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'SDS vs saponin'!$C$11:$C$16</c:f>
              <c:numCache>
                <c:formatCode>General</c:formatCode>
                <c:ptCount val="6"/>
                <c:pt idx="0">
                  <c:v>34.5</c:v>
                </c:pt>
                <c:pt idx="1">
                  <c:v>77</c:v>
                </c:pt>
                <c:pt idx="2">
                  <c:v>20</c:v>
                </c:pt>
                <c:pt idx="3">
                  <c:v>47.5</c:v>
                </c:pt>
                <c:pt idx="4">
                  <c:v>6</c:v>
                </c:pt>
                <c:pt idx="5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04-9942-8EB6-450D141AB3E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'SDS vs saponin'!$D$11:$D$16</c:f>
              <c:numCache>
                <c:formatCode>General</c:formatCode>
                <c:ptCount val="6"/>
                <c:pt idx="0">
                  <c:v>2.5</c:v>
                </c:pt>
                <c:pt idx="1">
                  <c:v>9.5</c:v>
                </c:pt>
                <c:pt idx="2">
                  <c:v>1</c:v>
                </c:pt>
                <c:pt idx="3">
                  <c:v>15</c:v>
                </c:pt>
                <c:pt idx="4">
                  <c:v>1</c:v>
                </c:pt>
                <c:pt idx="5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04-9942-8EB6-450D141AB3E0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'SDS vs saponin'!$E$11:$E$16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04-9942-8EB6-450D141A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979167"/>
        <c:axId val="1122645679"/>
      </c:barChart>
      <c:catAx>
        <c:axId val="11449791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45679"/>
        <c:crosses val="autoZero"/>
        <c:auto val="1"/>
        <c:lblAlgn val="ctr"/>
        <c:lblOffset val="100"/>
        <c:noMultiLvlLbl val="0"/>
      </c:catAx>
      <c:valAx>
        <c:axId val="11226456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979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138706304040153E-2"/>
          <c:y val="3.8201221876278994E-2"/>
          <c:w val="0.89227692523030866"/>
          <c:h val="0.733950228337937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'SDS vs saponin'!$B$34</c:f>
              <c:strCache>
                <c:ptCount val="1"/>
                <c:pt idx="0">
                  <c:v>undiluted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'SDS vs saponin'!$L$28:$M$33</c:f>
              <c:multiLvlStrCache>
                <c:ptCount val="6"/>
                <c:lvl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A</c:v>
                  </c:pt>
                  <c:pt idx="4">
                    <c:v>B</c:v>
                  </c:pt>
                  <c:pt idx="5">
                    <c:v>C</c:v>
                  </c:pt>
                </c:lvl>
                <c:lvl>
                  <c:pt idx="0">
                    <c:v>Saponin</c:v>
                  </c:pt>
                  <c:pt idx="3">
                    <c:v>SDS</c:v>
                  </c:pt>
                </c:lvl>
              </c:multiLvlStrCache>
            </c:multiLvlStrRef>
          </c:cat>
          <c:val>
            <c:numRef>
              <c:f>'SDS vs saponin'!$B$35:$B$40</c:f>
              <c:numCache>
                <c:formatCode>General</c:formatCode>
                <c:ptCount val="6"/>
                <c:pt idx="0">
                  <c:v>19.5</c:v>
                </c:pt>
                <c:pt idx="1">
                  <c:v>13.5</c:v>
                </c:pt>
                <c:pt idx="2">
                  <c:v>62.5</c:v>
                </c:pt>
                <c:pt idx="3">
                  <c:v>16.5</c:v>
                </c:pt>
                <c:pt idx="4">
                  <c:v>15</c:v>
                </c:pt>
                <c:pt idx="5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7-BC4E-BE6E-539A54A3D312}"/>
            </c:ext>
          </c:extLst>
        </c:ser>
        <c:ser>
          <c:idx val="2"/>
          <c:order val="1"/>
          <c:tx>
            <c:strRef>
              <c:f>'SDS vs saponin'!$C$34</c:f>
              <c:strCache>
                <c:ptCount val="1"/>
                <c:pt idx="0">
                  <c:v>1:10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'SDS vs saponin'!$L$28:$M$33</c:f>
              <c:multiLvlStrCache>
                <c:ptCount val="6"/>
                <c:lvl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A</c:v>
                  </c:pt>
                  <c:pt idx="4">
                    <c:v>B</c:v>
                  </c:pt>
                  <c:pt idx="5">
                    <c:v>C</c:v>
                  </c:pt>
                </c:lvl>
                <c:lvl>
                  <c:pt idx="0">
                    <c:v>Saponin</c:v>
                  </c:pt>
                  <c:pt idx="3">
                    <c:v>SDS</c:v>
                  </c:pt>
                </c:lvl>
              </c:multiLvlStrCache>
            </c:multiLvlStrRef>
          </c:cat>
          <c:val>
            <c:numRef>
              <c:f>'SDS vs saponin'!$C$35:$C$40</c:f>
              <c:numCache>
                <c:formatCode>General</c:formatCode>
                <c:ptCount val="6"/>
                <c:pt idx="0">
                  <c:v>2</c:v>
                </c:pt>
                <c:pt idx="1">
                  <c:v>1.5</c:v>
                </c:pt>
                <c:pt idx="2">
                  <c:v>7</c:v>
                </c:pt>
                <c:pt idx="3">
                  <c:v>5.5</c:v>
                </c:pt>
                <c:pt idx="4">
                  <c:v>19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57-BC4E-BE6E-539A54A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979167"/>
        <c:axId val="1122645679"/>
      </c:barChart>
      <c:catAx>
        <c:axId val="1144979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45679"/>
        <c:crosses val="autoZero"/>
        <c:auto val="1"/>
        <c:lblAlgn val="ctr"/>
        <c:lblOffset val="100"/>
        <c:noMultiLvlLbl val="0"/>
      </c:catAx>
      <c:valAx>
        <c:axId val="112264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CFU counted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979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31398154912622"/>
          <c:y val="4.8090131477256291E-2"/>
          <c:w val="0.21226384457482583"/>
          <c:h val="7.4735805329648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609600</xdr:colOff>
      <xdr:row>16</xdr:row>
      <xdr:rowOff>95250</xdr:rowOff>
    </xdr:from>
    <xdr:to>
      <xdr:col>18</xdr:col>
      <xdr:colOff>749300</xdr:colOff>
      <xdr:row>28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1369-F4B1-4418-AE70-3DDAB31C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800099</xdr:colOff>
      <xdr:row>1</xdr:row>
      <xdr:rowOff>436033</xdr:rowOff>
    </xdr:from>
    <xdr:to>
      <xdr:col>28</xdr:col>
      <xdr:colOff>658090</xdr:colOff>
      <xdr:row>23</xdr:row>
      <xdr:rowOff>11545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1E1F1-F696-4A54-A6D5-3AEE795E2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673100</xdr:colOff>
      <xdr:row>14</xdr:row>
      <xdr:rowOff>82550</xdr:rowOff>
    </xdr:from>
    <xdr:to>
      <xdr:col>39</xdr:col>
      <xdr:colOff>804333</xdr:colOff>
      <xdr:row>38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3A0C30-22EF-49B8-B96D-19B9B4079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43</xdr:col>
      <xdr:colOff>705095</xdr:colOff>
      <xdr:row>9</xdr:row>
      <xdr:rowOff>65063</xdr:rowOff>
    </xdr:from>
    <xdr:to>
      <xdr:col>55</xdr:col>
      <xdr:colOff>157189</xdr:colOff>
      <xdr:row>29</xdr:row>
      <xdr:rowOff>178330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6FB55FF-CA79-5540-B1C8-64E35DE84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0</xdr:colOff>
      <xdr:row>42</xdr:row>
      <xdr:rowOff>0</xdr:rowOff>
    </xdr:from>
    <xdr:to>
      <xdr:col>41</xdr:col>
      <xdr:colOff>197757</xdr:colOff>
      <xdr:row>67</xdr:row>
      <xdr:rowOff>35379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EFF7009-8FF8-1346-9789-833E43256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437444</xdr:colOff>
      <xdr:row>28</xdr:row>
      <xdr:rowOff>4234</xdr:rowOff>
    </xdr:from>
    <xdr:to>
      <xdr:col>15</xdr:col>
      <xdr:colOff>578555</xdr:colOff>
      <xdr:row>41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B392A8-222C-5E4A-A703-7EBEA8D6B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56444</xdr:colOff>
      <xdr:row>43</xdr:row>
      <xdr:rowOff>98777</xdr:rowOff>
    </xdr:from>
    <xdr:to>
      <xdr:col>15</xdr:col>
      <xdr:colOff>677333</xdr:colOff>
      <xdr:row>57</xdr:row>
      <xdr:rowOff>62088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430C70D-762B-FC46-8150-12CBC4CF4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0.11579</cdr:x>
      <cdr:y>0.86289</cdr:y>
    </cdr:from>
    <cdr:to>
      <cdr:x>0.48208</cdr:x>
      <cdr:y>0.86289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1F715772-7FAC-5349-996D-7835ECCFBD1E}"/>
            </a:ext>
          </a:extLst>
        </cdr:cNvPr>
        <cdr:cNvCxnSpPr/>
      </cdr:nvCxnSpPr>
      <cdr:spPr>
        <a:xfrm xmlns:a="http://schemas.openxmlformats.org/drawingml/2006/main">
          <a:off x="1866900" y="4356100"/>
          <a:ext cx="59055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0.2434</cdr:x>
      <cdr:y>0.88302</cdr:y>
    </cdr:from>
    <cdr:to>
      <cdr:x>0.30274</cdr:x>
      <cdr:y>0.9588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22329BC3-6C7C-5D44-BFFF-565A64C260D4}"/>
            </a:ext>
          </a:extLst>
        </cdr:cNvPr>
        <cdr:cNvSpPr txBox="1"/>
      </cdr:nvSpPr>
      <cdr:spPr>
        <a:xfrm xmlns:a="http://schemas.openxmlformats.org/drawingml/2006/main">
          <a:off x="3938163" y="4359580"/>
          <a:ext cx="960135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Saponin</a:t>
          </a:r>
        </a:p>
      </cdr:txBody>
    </cdr:sp>
  </cdr:relSizeAnchor>
  <cdr:relSizeAnchor xmlns:cdr="http://schemas.openxmlformats.org/drawingml/2006/chartDrawing">
    <cdr:from>
      <cdr:x>0.5254</cdr:x>
      <cdr:y>0.86289</cdr:y>
    </cdr:from>
    <cdr:to>
      <cdr:x>0.89169</cdr:x>
      <cdr:y>0.86289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120F2832-B493-2C47-9DF0-EF86373151DB}"/>
            </a:ext>
          </a:extLst>
        </cdr:cNvPr>
        <cdr:cNvCxnSpPr/>
      </cdr:nvCxnSpPr>
      <cdr:spPr>
        <a:xfrm xmlns:a="http://schemas.openxmlformats.org/drawingml/2006/main">
          <a:off x="8470900" y="4356100"/>
          <a:ext cx="59055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0.66798</cdr:x>
      <cdr:y>0.88302</cdr:y>
    </cdr:from>
    <cdr:to>
      <cdr:x>0.70188</cdr:x>
      <cdr:y>0.9588</cdr:y>
    </cdr:to>
    <cdr:sp macro="" textlink="">
      <cdr:nvSpPr>
        <cdr:cNvPr id="5" name="TextBox 7">
          <a:extLst xmlns:a="http://schemas.openxmlformats.org/drawingml/2006/main">
            <a:ext uri="{FF2B5EF4-FFF2-40B4-BE49-F238E27FC236}">
              <a16:creationId xmlns:a16="http://schemas.microsoft.com/office/drawing/2014/main" id="{6D628584-2F9C-EF4F-84F9-2A7823CF78D7}"/>
            </a:ext>
          </a:extLst>
        </cdr:cNvPr>
        <cdr:cNvSpPr txBox="1"/>
      </cdr:nvSpPr>
      <cdr:spPr>
        <a:xfrm xmlns:a="http://schemas.openxmlformats.org/drawingml/2006/main">
          <a:off x="10807783" y="4359580"/>
          <a:ext cx="548420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SDS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340077</xdr:colOff>
      <xdr:row>9</xdr:row>
      <xdr:rowOff>182739</xdr:rowOff>
    </xdr:from>
    <xdr:to>
      <xdr:col>10</xdr:col>
      <xdr:colOff>791633</xdr:colOff>
      <xdr:row>23</xdr:row>
      <xdr:rowOff>81139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3F04A2-7E82-9D47-8BF8-7FEFDBEBA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211666</xdr:colOff>
      <xdr:row>34</xdr:row>
      <xdr:rowOff>1</xdr:rowOff>
    </xdr:from>
    <xdr:to>
      <xdr:col>14</xdr:col>
      <xdr:colOff>663222</xdr:colOff>
      <xdr:row>53</xdr:row>
      <xdr:rowOff>141111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B09EC8-4D60-FF41-AA94-5B9430D53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C57-8139-4D40-9212-FF2505C90C78}">
  <sheetPr>
    <pageSetUpPr fitToPage="1"/>
  </sheetPr>
  <dimension ref="A3:Q41"/>
  <sheetViews>
    <sheetView zoomScale="134" zoomScaleNormal="120" workbookViewId="0">
      <selection activeCell="H18" sqref="H18:J26"/>
    </sheetView>
  </sheetViews>
  <sheetFormatPr baseColWidth="10" defaultColWidth="10.6640625" defaultRowHeight="16" x14ac:dyDescent="0.2"/>
  <cols>
    <col min="1" max="1" width="2.5" bestFit="1" customWidth="1"/>
    <col min="2" max="3" width="11.5" customWidth="1"/>
    <col min="4" max="4" width="13.5" customWidth="1"/>
    <col min="5" max="5" width="11.5" customWidth="1"/>
    <col min="6" max="6" width="7.5" customWidth="1"/>
    <col min="8" max="8" width="26.6640625" bestFit="1" customWidth="1"/>
    <col min="9" max="9" width="8.6640625" hidden="1" customWidth="1"/>
    <col min="11" max="11" width="20" bestFit="1" customWidth="1"/>
    <col min="13" max="14" width="4.1640625" bestFit="1" customWidth="1"/>
    <col min="15" max="16" width="3.1640625" bestFit="1" customWidth="1"/>
    <col min="17" max="17" width="8.6640625" bestFit="1" customWidth="1"/>
  </cols>
  <sheetData>
    <row r="3" spans="1:17" ht="17" thickBot="1" x14ac:dyDescent="0.25">
      <c r="A3" s="2" t="s">
        <v>0</v>
      </c>
      <c r="B3" s="3">
        <v>1</v>
      </c>
      <c r="C3" s="3">
        <v>2</v>
      </c>
      <c r="D3" s="3">
        <v>3</v>
      </c>
      <c r="E3" s="3">
        <v>4</v>
      </c>
      <c r="H3" s="86" t="s">
        <v>1</v>
      </c>
      <c r="I3" s="86" t="s">
        <v>129</v>
      </c>
      <c r="J3" t="s">
        <v>130</v>
      </c>
      <c r="K3" t="s">
        <v>132</v>
      </c>
      <c r="M3" s="111" t="s">
        <v>95</v>
      </c>
      <c r="N3" s="111"/>
      <c r="O3" s="111"/>
      <c r="P3" s="111"/>
      <c r="Q3" s="111"/>
    </row>
    <row r="4" spans="1:17" ht="17" x14ac:dyDescent="0.2">
      <c r="A4" s="5" t="s">
        <v>2</v>
      </c>
      <c r="B4" s="6" t="s">
        <v>3</v>
      </c>
      <c r="C4" s="6" t="s">
        <v>120</v>
      </c>
      <c r="D4" s="6" t="s">
        <v>133</v>
      </c>
      <c r="E4" s="6" t="s">
        <v>134</v>
      </c>
      <c r="H4" s="2" t="s">
        <v>131</v>
      </c>
      <c r="I4">
        <v>0.32</v>
      </c>
      <c r="J4" s="2">
        <v>3.8</v>
      </c>
      <c r="K4">
        <f>J4/I4</f>
        <v>11.875</v>
      </c>
      <c r="M4" s="2">
        <v>112</v>
      </c>
      <c r="N4" s="2">
        <v>103</v>
      </c>
      <c r="O4" s="2">
        <v>87</v>
      </c>
      <c r="P4" s="2">
        <v>99</v>
      </c>
      <c r="Q4" s="111"/>
    </row>
    <row r="5" spans="1:17" ht="17" x14ac:dyDescent="0.2">
      <c r="A5" s="5" t="s">
        <v>5</v>
      </c>
      <c r="B5" s="6" t="s">
        <v>3</v>
      </c>
      <c r="C5" s="6" t="s">
        <v>120</v>
      </c>
      <c r="D5" s="6" t="s">
        <v>133</v>
      </c>
      <c r="E5" s="6" t="s">
        <v>134</v>
      </c>
      <c r="H5" s="2" t="s">
        <v>4</v>
      </c>
      <c r="I5" s="98">
        <v>25000</v>
      </c>
      <c r="J5" s="8">
        <f>I5*$K$4</f>
        <v>296875</v>
      </c>
      <c r="K5">
        <f t="shared" ref="K5" si="0">J5/I5</f>
        <v>11.875</v>
      </c>
      <c r="M5" s="2"/>
      <c r="N5" s="2"/>
      <c r="O5" s="2"/>
      <c r="P5" s="2"/>
      <c r="Q5" s="111"/>
    </row>
    <row r="6" spans="1:17" ht="17" x14ac:dyDescent="0.2">
      <c r="A6" s="5" t="s">
        <v>7</v>
      </c>
      <c r="B6" s="6" t="s">
        <v>3</v>
      </c>
      <c r="C6" s="6" t="s">
        <v>120</v>
      </c>
      <c r="D6" s="6" t="s">
        <v>133</v>
      </c>
      <c r="E6" s="6" t="s">
        <v>134</v>
      </c>
      <c r="H6" s="2" t="s">
        <v>6</v>
      </c>
      <c r="I6" s="99">
        <v>0.2</v>
      </c>
      <c r="J6" s="102">
        <v>1</v>
      </c>
      <c r="M6" s="111" t="s">
        <v>96</v>
      </c>
      <c r="N6" s="111"/>
      <c r="O6" s="111"/>
      <c r="P6" s="111"/>
      <c r="Q6" s="2">
        <f>AVERAGE(M4:P5)</f>
        <v>100.25</v>
      </c>
    </row>
    <row r="7" spans="1:17" x14ac:dyDescent="0.2">
      <c r="B7" s="112" t="s">
        <v>155</v>
      </c>
      <c r="C7" s="112"/>
      <c r="D7" s="112"/>
      <c r="E7" s="112"/>
      <c r="H7" s="2" t="s">
        <v>8</v>
      </c>
      <c r="I7" s="98">
        <f>I5/I6</f>
        <v>125000</v>
      </c>
      <c r="J7" s="8">
        <f>J5/J6</f>
        <v>296875</v>
      </c>
      <c r="M7" s="111" t="s">
        <v>97</v>
      </c>
      <c r="N7" s="111"/>
      <c r="O7" s="111"/>
      <c r="P7" s="111"/>
      <c r="Q7" s="2">
        <f>Q6*2</f>
        <v>200.5</v>
      </c>
    </row>
    <row r="8" spans="1:17" x14ac:dyDescent="0.2">
      <c r="H8" s="2" t="s">
        <v>10</v>
      </c>
      <c r="I8" s="99">
        <v>15</v>
      </c>
      <c r="J8" s="102">
        <v>35</v>
      </c>
      <c r="M8" s="111" t="s">
        <v>98</v>
      </c>
      <c r="N8" s="111"/>
      <c r="O8" s="111"/>
      <c r="P8" s="111"/>
      <c r="Q8" s="8">
        <f>Q7*10000</f>
        <v>2005000</v>
      </c>
    </row>
    <row r="9" spans="1:17" x14ac:dyDescent="0.2">
      <c r="C9" s="63" t="s">
        <v>99</v>
      </c>
      <c r="D9" s="64" t="s">
        <v>42</v>
      </c>
      <c r="E9" s="65" t="s">
        <v>101</v>
      </c>
      <c r="H9" s="2" t="s">
        <v>12</v>
      </c>
      <c r="I9" s="100">
        <f>Q8</f>
        <v>2005000</v>
      </c>
      <c r="J9" s="109">
        <f>Q8</f>
        <v>2005000</v>
      </c>
    </row>
    <row r="10" spans="1:17" x14ac:dyDescent="0.2">
      <c r="C10" s="66">
        <v>1</v>
      </c>
      <c r="D10" s="67" t="s">
        <v>3</v>
      </c>
      <c r="E10" s="68" t="s">
        <v>79</v>
      </c>
      <c r="H10" s="2" t="s">
        <v>14</v>
      </c>
      <c r="I10" s="101">
        <f>I8*I7/I9</f>
        <v>0.93516209476309231</v>
      </c>
      <c r="J10" s="12">
        <f>J7*J8/J9</f>
        <v>5.1823566084788029</v>
      </c>
    </row>
    <row r="11" spans="1:17" x14ac:dyDescent="0.2">
      <c r="C11" s="66">
        <v>2</v>
      </c>
      <c r="D11" s="67" t="s">
        <v>104</v>
      </c>
      <c r="E11" s="68" t="s">
        <v>102</v>
      </c>
      <c r="H11" s="2" t="s">
        <v>16</v>
      </c>
      <c r="I11" s="101">
        <f>I8-I10</f>
        <v>14.064837905236908</v>
      </c>
      <c r="J11" s="12">
        <f>J8-J10</f>
        <v>29.817643391521198</v>
      </c>
      <c r="O11" t="s">
        <v>51</v>
      </c>
    </row>
    <row r="12" spans="1:17" x14ac:dyDescent="0.2">
      <c r="C12" s="66">
        <v>3</v>
      </c>
      <c r="D12" s="67" t="s">
        <v>105</v>
      </c>
      <c r="E12" s="68" t="s">
        <v>103</v>
      </c>
      <c r="H12" s="2" t="s">
        <v>18</v>
      </c>
      <c r="I12" s="100">
        <f>Q19</f>
        <v>295000</v>
      </c>
      <c r="J12" s="8">
        <f>Q19</f>
        <v>295000</v>
      </c>
      <c r="M12" s="111" t="s">
        <v>94</v>
      </c>
      <c r="N12" s="111"/>
      <c r="O12" s="111"/>
      <c r="P12" s="111"/>
      <c r="Q12" s="111"/>
    </row>
    <row r="13" spans="1:17" x14ac:dyDescent="0.2">
      <c r="C13" s="66">
        <v>4</v>
      </c>
      <c r="D13" s="67" t="s">
        <v>138</v>
      </c>
      <c r="E13" s="68" t="s">
        <v>139</v>
      </c>
      <c r="H13" s="2" t="s">
        <v>19</v>
      </c>
      <c r="I13" s="98">
        <f>I12*0.15</f>
        <v>44250</v>
      </c>
      <c r="J13" s="8">
        <f>J12*J6</f>
        <v>295000</v>
      </c>
      <c r="M13" s="2">
        <v>17</v>
      </c>
      <c r="N13" s="2">
        <v>22</v>
      </c>
      <c r="O13" s="2">
        <v>10</v>
      </c>
      <c r="P13" s="2">
        <v>16</v>
      </c>
      <c r="Q13" s="111"/>
    </row>
    <row r="14" spans="1:17" x14ac:dyDescent="0.2">
      <c r="M14" s="2">
        <v>13</v>
      </c>
      <c r="N14" s="2">
        <v>12</v>
      </c>
      <c r="O14" s="2">
        <v>17</v>
      </c>
      <c r="P14" s="2">
        <v>6</v>
      </c>
      <c r="Q14" s="111"/>
    </row>
    <row r="15" spans="1:17" x14ac:dyDescent="0.2">
      <c r="M15" s="2">
        <v>11</v>
      </c>
      <c r="N15" s="2">
        <v>21</v>
      </c>
      <c r="O15" s="2">
        <v>13</v>
      </c>
      <c r="P15" s="2">
        <v>19</v>
      </c>
      <c r="Q15" s="111"/>
    </row>
    <row r="16" spans="1:17" x14ac:dyDescent="0.2">
      <c r="M16" s="2"/>
      <c r="N16" s="2"/>
      <c r="O16" s="2"/>
      <c r="P16" s="2"/>
      <c r="Q16" s="111"/>
    </row>
    <row r="17" spans="2:17" x14ac:dyDescent="0.2">
      <c r="M17" s="111" t="s">
        <v>96</v>
      </c>
      <c r="N17" s="111"/>
      <c r="O17" s="111"/>
      <c r="P17" s="111"/>
      <c r="Q17" s="2">
        <f>AVERAGE(M13:P16)</f>
        <v>14.75</v>
      </c>
    </row>
    <row r="18" spans="2:17" x14ac:dyDescent="0.2">
      <c r="H18" s="4" t="s">
        <v>26</v>
      </c>
      <c r="I18" s="4" t="s">
        <v>27</v>
      </c>
      <c r="M18" s="111" t="s">
        <v>97</v>
      </c>
      <c r="N18" s="111"/>
      <c r="O18" s="111"/>
      <c r="P18" s="111"/>
      <c r="Q18" s="2">
        <f>Q17*2</f>
        <v>29.5</v>
      </c>
    </row>
    <row r="19" spans="2:17" x14ac:dyDescent="0.2">
      <c r="H19" s="2" t="s">
        <v>29</v>
      </c>
      <c r="I19" s="13">
        <v>5</v>
      </c>
      <c r="J19" s="2">
        <v>10</v>
      </c>
      <c r="K19" t="s">
        <v>51</v>
      </c>
      <c r="M19" s="111" t="s">
        <v>98</v>
      </c>
      <c r="N19" s="111"/>
      <c r="O19" s="111"/>
      <c r="P19" s="111"/>
      <c r="Q19" s="8">
        <f>Q18*10000</f>
        <v>295000</v>
      </c>
    </row>
    <row r="20" spans="2:17" x14ac:dyDescent="0.2">
      <c r="H20" s="2" t="s">
        <v>30</v>
      </c>
      <c r="I20" s="14">
        <f>I13</f>
        <v>44250</v>
      </c>
      <c r="J20" s="8">
        <f>J13</f>
        <v>295000</v>
      </c>
    </row>
    <row r="21" spans="2:17" x14ac:dyDescent="0.2">
      <c r="H21" s="2" t="s">
        <v>32</v>
      </c>
      <c r="I21" s="13">
        <v>0.05</v>
      </c>
      <c r="J21" s="2">
        <v>0.05</v>
      </c>
    </row>
    <row r="22" spans="2:17" ht="34" x14ac:dyDescent="0.2">
      <c r="H22" s="15" t="s">
        <v>35</v>
      </c>
      <c r="I22" s="14">
        <f>(I20*I19/I21)</f>
        <v>4425000</v>
      </c>
      <c r="J22" s="14">
        <f>(J20*J19/J21)</f>
        <v>59000000</v>
      </c>
    </row>
    <row r="23" spans="2:17" x14ac:dyDescent="0.2">
      <c r="H23" s="2" t="s">
        <v>37</v>
      </c>
      <c r="I23" s="14">
        <v>5810000000</v>
      </c>
      <c r="J23" s="14">
        <v>5810000000</v>
      </c>
    </row>
    <row r="24" spans="2:17" x14ac:dyDescent="0.2">
      <c r="H24" s="2" t="s">
        <v>38</v>
      </c>
      <c r="I24" s="16">
        <f>I22/I23</f>
        <v>7.6161790017211699E-4</v>
      </c>
      <c r="J24" s="16">
        <f>J22/J23</f>
        <v>1.0154905335628227E-2</v>
      </c>
    </row>
    <row r="25" spans="2:17" x14ac:dyDescent="0.2">
      <c r="H25" s="2" t="s">
        <v>39</v>
      </c>
      <c r="I25" s="17">
        <v>0.04</v>
      </c>
      <c r="J25" s="2">
        <v>0.2</v>
      </c>
    </row>
    <row r="26" spans="2:17" x14ac:dyDescent="0.2">
      <c r="H26" s="2" t="s">
        <v>157</v>
      </c>
      <c r="I26" s="18">
        <f>I25/100</f>
        <v>4.0000000000000002E-4</v>
      </c>
      <c r="J26" s="2">
        <v>5.0000000000000001E-3</v>
      </c>
    </row>
    <row r="28" spans="2:17" x14ac:dyDescent="0.2">
      <c r="H28" t="s">
        <v>156</v>
      </c>
    </row>
    <row r="30" spans="2:17" x14ac:dyDescent="0.2">
      <c r="B30" t="s">
        <v>135</v>
      </c>
    </row>
    <row r="31" spans="2:17" x14ac:dyDescent="0.2">
      <c r="B31" t="s">
        <v>79</v>
      </c>
    </row>
    <row r="32" spans="2:17" x14ac:dyDescent="0.2">
      <c r="I32" s="1"/>
    </row>
    <row r="33" spans="7:11" x14ac:dyDescent="0.2">
      <c r="I33" t="s">
        <v>129</v>
      </c>
      <c r="J33" t="s">
        <v>130</v>
      </c>
      <c r="K33" t="s">
        <v>148</v>
      </c>
    </row>
    <row r="34" spans="7:11" x14ac:dyDescent="0.2">
      <c r="G34" t="s">
        <v>136</v>
      </c>
      <c r="H34" t="s">
        <v>141</v>
      </c>
      <c r="I34">
        <v>10</v>
      </c>
      <c r="J34" s="1">
        <f>I36*(5*J20)</f>
        <v>66.666666666666671</v>
      </c>
      <c r="K34" s="87">
        <f>J34*0.1</f>
        <v>6.6666666666666679</v>
      </c>
    </row>
    <row r="35" spans="7:11" x14ac:dyDescent="0.2">
      <c r="H35" t="s">
        <v>142</v>
      </c>
      <c r="I35">
        <v>100</v>
      </c>
      <c r="J35" s="1">
        <f>I37*(5*J20)</f>
        <v>666.66666666666663</v>
      </c>
      <c r="K35" s="87">
        <f>J35*0.1</f>
        <v>66.666666666666671</v>
      </c>
    </row>
    <row r="36" spans="7:11" x14ac:dyDescent="0.2">
      <c r="H36" t="s">
        <v>143</v>
      </c>
      <c r="I36" s="1">
        <f>I34/(5*I20)</f>
        <v>4.519774011299435E-5</v>
      </c>
      <c r="K36" s="1"/>
    </row>
    <row r="37" spans="7:11" x14ac:dyDescent="0.2">
      <c r="H37" t="s">
        <v>144</v>
      </c>
      <c r="I37" s="1">
        <f>I35/(5*I20)</f>
        <v>4.519774011299435E-4</v>
      </c>
    </row>
    <row r="38" spans="7:11" x14ac:dyDescent="0.2">
      <c r="G38" t="s">
        <v>137</v>
      </c>
      <c r="H38" t="s">
        <v>145</v>
      </c>
      <c r="I38" s="1">
        <v>1000</v>
      </c>
      <c r="J38" s="1">
        <f>J34*I40</f>
        <v>6666.666666666667</v>
      </c>
      <c r="K38" s="1">
        <f>J38*0.1</f>
        <v>666.66666666666674</v>
      </c>
    </row>
    <row r="39" spans="7:11" x14ac:dyDescent="0.2">
      <c r="H39" t="s">
        <v>142</v>
      </c>
      <c r="I39" s="1">
        <v>50000</v>
      </c>
      <c r="J39" s="1">
        <f>J35*I41</f>
        <v>333333.33333333331</v>
      </c>
      <c r="K39" s="1">
        <f>J39*0.1</f>
        <v>33333.333333333336</v>
      </c>
    </row>
    <row r="40" spans="7:11" x14ac:dyDescent="0.2">
      <c r="H40" t="s">
        <v>146</v>
      </c>
      <c r="I40" s="1">
        <f>I38/I34</f>
        <v>100</v>
      </c>
    </row>
    <row r="41" spans="7:11" x14ac:dyDescent="0.2">
      <c r="H41" t="s">
        <v>147</v>
      </c>
      <c r="I41" s="1">
        <f>I39/I35</f>
        <v>500</v>
      </c>
    </row>
  </sheetData>
  <mergeCells count="11">
    <mergeCell ref="B7:E7"/>
    <mergeCell ref="M3:Q3"/>
    <mergeCell ref="M12:Q12"/>
    <mergeCell ref="M6:P6"/>
    <mergeCell ref="M7:P7"/>
    <mergeCell ref="M8:P8"/>
    <mergeCell ref="M17:P17"/>
    <mergeCell ref="M18:P18"/>
    <mergeCell ref="M19:P19"/>
    <mergeCell ref="Q4:Q5"/>
    <mergeCell ref="Q13:Q16"/>
  </mergeCells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A7C-E09B-4F01-87CD-1344538A550F}">
  <sheetPr>
    <pageSetUpPr fitToPage="1"/>
  </sheetPr>
  <dimension ref="A1:G14"/>
  <sheetViews>
    <sheetView workbookViewId="0">
      <selection activeCell="B14" sqref="B14"/>
    </sheetView>
  </sheetViews>
  <sheetFormatPr baseColWidth="10" defaultColWidth="10.6640625" defaultRowHeight="16" x14ac:dyDescent="0.2"/>
  <cols>
    <col min="1" max="1" width="8.5" bestFit="1" customWidth="1"/>
    <col min="2" max="2" width="17.83203125" customWidth="1"/>
    <col min="3" max="3" width="10" bestFit="1" customWidth="1"/>
    <col min="4" max="4" width="8.6640625" bestFit="1" customWidth="1"/>
    <col min="5" max="5" width="9.83203125" bestFit="1" customWidth="1"/>
    <col min="6" max="6" width="6.6640625" bestFit="1" customWidth="1"/>
    <col min="7" max="7" width="14.83203125" bestFit="1" customWidth="1"/>
    <col min="8" max="8" width="13.1640625" bestFit="1" customWidth="1"/>
    <col min="13" max="13" width="26.6640625" bestFit="1" customWidth="1"/>
  </cols>
  <sheetData>
    <row r="1" spans="1:7" ht="34" customHeight="1" x14ac:dyDescent="0.2"/>
    <row r="4" spans="1:7" ht="17" thickBot="1" x14ac:dyDescent="0.25"/>
    <row r="5" spans="1:7" ht="17" thickBot="1" x14ac:dyDescent="0.25">
      <c r="A5" s="69" t="s">
        <v>108</v>
      </c>
      <c r="B5" s="70">
        <v>0.1</v>
      </c>
    </row>
    <row r="8" spans="1:7" ht="36" customHeight="1" x14ac:dyDescent="0.2">
      <c r="D8" s="113" t="s">
        <v>190</v>
      </c>
      <c r="E8" s="113"/>
    </row>
    <row r="9" spans="1:7" ht="51" x14ac:dyDescent="0.2">
      <c r="A9" s="10" t="s">
        <v>41</v>
      </c>
      <c r="B9" s="10" t="s">
        <v>42</v>
      </c>
      <c r="C9" s="6" t="s">
        <v>43</v>
      </c>
      <c r="D9" s="6" t="s">
        <v>44</v>
      </c>
      <c r="E9" s="6" t="s">
        <v>100</v>
      </c>
      <c r="F9" s="6" t="s">
        <v>46</v>
      </c>
      <c r="G9" s="6" t="s">
        <v>191</v>
      </c>
    </row>
    <row r="10" spans="1:7" ht="17" x14ac:dyDescent="0.2">
      <c r="A10" s="10">
        <v>1</v>
      </c>
      <c r="B10" s="6" t="s">
        <v>3</v>
      </c>
      <c r="C10" s="2">
        <v>3.94</v>
      </c>
      <c r="D10" s="12">
        <f>1.4*0.2/C10*1000</f>
        <v>71.065989847715727</v>
      </c>
      <c r="E10" s="12">
        <f>(1400-D10)</f>
        <v>1328.9340101522844</v>
      </c>
      <c r="F10" s="2">
        <v>0.184</v>
      </c>
      <c r="G10" s="110">
        <f>0.005*1300/F10</f>
        <v>35.326086956521742</v>
      </c>
    </row>
    <row r="11" spans="1:7" ht="17" x14ac:dyDescent="0.2">
      <c r="A11" s="10">
        <v>2</v>
      </c>
      <c r="B11" s="23" t="s">
        <v>109</v>
      </c>
      <c r="C11" s="2">
        <v>5.05</v>
      </c>
      <c r="D11" s="12">
        <f t="shared" ref="D11:D14" si="0">1.4*0.2/C11*1000</f>
        <v>55.445544554455438</v>
      </c>
      <c r="E11" s="12">
        <f t="shared" ref="E11:E14" si="1">(1400-D11)</f>
        <v>1344.5544554455446</v>
      </c>
      <c r="F11" s="2">
        <v>0.221</v>
      </c>
      <c r="G11" s="110">
        <f t="shared" ref="G11:G14" si="2">0.005*1300/F11</f>
        <v>29.411764705882351</v>
      </c>
    </row>
    <row r="12" spans="1:7" ht="17" x14ac:dyDescent="0.2">
      <c r="A12" s="10">
        <v>3</v>
      </c>
      <c r="B12" s="23" t="s">
        <v>110</v>
      </c>
      <c r="C12" s="2">
        <v>2.93</v>
      </c>
      <c r="D12" s="12">
        <f t="shared" si="0"/>
        <v>95.563139931740594</v>
      </c>
      <c r="E12" s="12">
        <f t="shared" si="1"/>
        <v>1304.4368600682594</v>
      </c>
      <c r="F12" s="2">
        <v>0.191</v>
      </c>
      <c r="G12" s="110">
        <f t="shared" si="2"/>
        <v>34.031413612565444</v>
      </c>
    </row>
    <row r="13" spans="1:7" ht="17" x14ac:dyDescent="0.2">
      <c r="A13" s="10">
        <v>4</v>
      </c>
      <c r="B13" s="23" t="s">
        <v>192</v>
      </c>
      <c r="C13" s="2">
        <v>3.99</v>
      </c>
      <c r="D13" s="12">
        <f t="shared" si="0"/>
        <v>70.175438596491205</v>
      </c>
      <c r="E13" s="12">
        <f t="shared" si="1"/>
        <v>1329.8245614035088</v>
      </c>
      <c r="F13" s="2">
        <v>0.21099999999999999</v>
      </c>
      <c r="G13" s="110">
        <f t="shared" si="2"/>
        <v>30.805687203791472</v>
      </c>
    </row>
    <row r="14" spans="1:7" ht="17" x14ac:dyDescent="0.2">
      <c r="A14" s="10">
        <v>5</v>
      </c>
      <c r="B14" s="23" t="s">
        <v>189</v>
      </c>
      <c r="C14" s="2">
        <v>5.41</v>
      </c>
      <c r="D14" s="12">
        <f t="shared" si="0"/>
        <v>51.756007393715336</v>
      </c>
      <c r="E14" s="12">
        <f t="shared" si="1"/>
        <v>1348.2439926062846</v>
      </c>
      <c r="F14" s="2">
        <v>0.193</v>
      </c>
      <c r="G14" s="110">
        <f t="shared" si="2"/>
        <v>33.678756476683937</v>
      </c>
    </row>
  </sheetData>
  <mergeCells count="1">
    <mergeCell ref="D8:E8"/>
  </mergeCells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F144-0068-344F-A19C-2945CA9942F0}">
  <sheetPr>
    <pageSetUpPr fitToPage="1"/>
  </sheetPr>
  <dimension ref="A2:AA38"/>
  <sheetViews>
    <sheetView zoomScale="134" zoomScaleNormal="120" workbookViewId="0">
      <selection activeCell="F8" sqref="F8"/>
    </sheetView>
  </sheetViews>
  <sheetFormatPr baseColWidth="10" defaultColWidth="10.6640625" defaultRowHeight="16" x14ac:dyDescent="0.2"/>
  <cols>
    <col min="1" max="1" width="16" bestFit="1" customWidth="1"/>
    <col min="2" max="2" width="10.6640625" bestFit="1" customWidth="1"/>
    <col min="3" max="3" width="7.33203125" bestFit="1" customWidth="1"/>
    <col min="4" max="4" width="4.83203125" bestFit="1" customWidth="1"/>
    <col min="5" max="5" width="7.6640625" bestFit="1" customWidth="1"/>
    <col min="6" max="6" width="31.6640625" customWidth="1"/>
    <col min="8" max="10" width="16.33203125" customWidth="1"/>
    <col min="12" max="14" width="16.33203125" customWidth="1"/>
    <col min="17" max="17" width="26.6640625" bestFit="1" customWidth="1"/>
    <col min="20" max="20" width="33.5" bestFit="1" customWidth="1"/>
  </cols>
  <sheetData>
    <row r="2" spans="1:10" x14ac:dyDescent="0.2">
      <c r="J2" s="1"/>
    </row>
    <row r="4" spans="1:10" x14ac:dyDescent="0.2">
      <c r="A4" s="51"/>
      <c r="B4" s="52" t="s">
        <v>20</v>
      </c>
      <c r="C4" s="52"/>
      <c r="D4" s="51"/>
      <c r="E4" s="51"/>
      <c r="F4" s="51"/>
    </row>
    <row r="5" spans="1:10" x14ac:dyDescent="0.2">
      <c r="A5" s="53" t="s">
        <v>21</v>
      </c>
      <c r="B5" s="53" t="s">
        <v>151</v>
      </c>
      <c r="C5" s="53" t="s">
        <v>150</v>
      </c>
      <c r="D5" s="53" t="s">
        <v>22</v>
      </c>
      <c r="E5" s="53" t="s">
        <v>152</v>
      </c>
      <c r="F5" s="53" t="s">
        <v>23</v>
      </c>
    </row>
    <row r="6" spans="1:10" x14ac:dyDescent="0.2">
      <c r="A6" s="54" t="s">
        <v>24</v>
      </c>
      <c r="B6" s="54">
        <v>4</v>
      </c>
      <c r="C6" s="54">
        <v>2</v>
      </c>
      <c r="D6" s="54"/>
      <c r="E6" s="54"/>
      <c r="F6" s="54" t="s">
        <v>106</v>
      </c>
    </row>
    <row r="7" spans="1:10" x14ac:dyDescent="0.2">
      <c r="A7" s="54" t="s">
        <v>25</v>
      </c>
      <c r="B7" s="54">
        <v>0</v>
      </c>
      <c r="C7" s="54"/>
      <c r="D7" s="54">
        <v>8</v>
      </c>
      <c r="E7" s="54">
        <v>8</v>
      </c>
      <c r="F7" s="54" t="s">
        <v>107</v>
      </c>
    </row>
    <row r="8" spans="1:10" x14ac:dyDescent="0.2">
      <c r="A8" s="54" t="s">
        <v>28</v>
      </c>
      <c r="B8" s="54">
        <v>48</v>
      </c>
      <c r="C8" s="54">
        <v>48</v>
      </c>
      <c r="D8" s="54">
        <v>0</v>
      </c>
      <c r="E8" s="54"/>
      <c r="F8" s="54" t="s">
        <v>140</v>
      </c>
    </row>
    <row r="9" spans="1:10" x14ac:dyDescent="0.2">
      <c r="A9" s="54" t="s">
        <v>149</v>
      </c>
      <c r="B9" s="54"/>
      <c r="C9" s="54"/>
      <c r="D9" s="54">
        <v>48</v>
      </c>
      <c r="E9" s="54">
        <v>48</v>
      </c>
      <c r="F9" s="55" t="s">
        <v>153</v>
      </c>
    </row>
    <row r="10" spans="1:10" x14ac:dyDescent="0.2">
      <c r="A10" s="54" t="s">
        <v>31</v>
      </c>
      <c r="B10" s="54">
        <f>SUM(B6:B9)</f>
        <v>52</v>
      </c>
      <c r="C10" s="54">
        <f>SUM(C6:C9)</f>
        <v>50</v>
      </c>
      <c r="D10" s="54">
        <f>SUM(D7:D9)</f>
        <v>56</v>
      </c>
      <c r="E10" s="54">
        <f>SUM(E7:E9)</f>
        <v>56</v>
      </c>
      <c r="F10" s="116" t="s">
        <v>34</v>
      </c>
    </row>
    <row r="11" spans="1:10" ht="17" thickBot="1" x14ac:dyDescent="0.25">
      <c r="A11" s="56" t="s">
        <v>33</v>
      </c>
      <c r="B11" s="56">
        <f>B10/25</f>
        <v>2.08</v>
      </c>
      <c r="C11" s="90"/>
      <c r="D11" s="57">
        <f>D10/20</f>
        <v>2.8</v>
      </c>
      <c r="E11" s="57"/>
      <c r="F11" s="116"/>
    </row>
    <row r="12" spans="1:10" ht="17" thickBot="1" x14ac:dyDescent="0.25">
      <c r="A12" s="58" t="s">
        <v>36</v>
      </c>
      <c r="B12" s="59">
        <f>SUM(B11:D11)</f>
        <v>4.88</v>
      </c>
      <c r="C12" s="91"/>
      <c r="D12" s="51"/>
      <c r="E12" s="51"/>
      <c r="F12" s="51"/>
    </row>
    <row r="14" spans="1:10" x14ac:dyDescent="0.2">
      <c r="A14" s="92" t="s">
        <v>154</v>
      </c>
      <c r="B14">
        <v>54</v>
      </c>
      <c r="C14">
        <v>52</v>
      </c>
      <c r="D14">
        <v>58</v>
      </c>
      <c r="E14">
        <v>58</v>
      </c>
    </row>
    <row r="27" spans="1:27" x14ac:dyDescent="0.2">
      <c r="X27" s="114" t="s">
        <v>40</v>
      </c>
      <c r="Y27" s="115"/>
    </row>
    <row r="28" spans="1:27" ht="68" x14ac:dyDescent="0.2">
      <c r="U28" s="10" t="s">
        <v>41</v>
      </c>
      <c r="V28" s="10" t="s">
        <v>42</v>
      </c>
      <c r="W28" s="6" t="s">
        <v>43</v>
      </c>
      <c r="X28" s="6" t="s">
        <v>44</v>
      </c>
      <c r="Y28" s="6" t="s">
        <v>45</v>
      </c>
      <c r="Z28" s="6" t="s">
        <v>46</v>
      </c>
      <c r="AA28" s="6" t="s">
        <v>47</v>
      </c>
    </row>
    <row r="29" spans="1:27" ht="17" x14ac:dyDescent="0.2">
      <c r="U29" s="10">
        <v>1</v>
      </c>
      <c r="V29" s="6" t="s">
        <v>3</v>
      </c>
      <c r="W29" s="2">
        <v>0.9</v>
      </c>
      <c r="X29" s="2">
        <v>36.1</v>
      </c>
      <c r="Y29" s="2">
        <f>1300-X29</f>
        <v>1263.9000000000001</v>
      </c>
      <c r="Z29" s="2">
        <v>1.9E-2</v>
      </c>
      <c r="AA29" s="2">
        <v>12.5</v>
      </c>
    </row>
    <row r="30" spans="1:27" ht="18" thickBot="1" x14ac:dyDescent="0.25">
      <c r="A30" s="2" t="s">
        <v>0</v>
      </c>
      <c r="B30" s="3">
        <v>1</v>
      </c>
      <c r="C30" s="3"/>
      <c r="D30" s="3">
        <v>2</v>
      </c>
      <c r="E30" s="3"/>
      <c r="F30" s="3">
        <v>3</v>
      </c>
      <c r="G30" s="3">
        <v>4</v>
      </c>
      <c r="H30" s="3">
        <v>5</v>
      </c>
      <c r="I30" s="3">
        <v>6</v>
      </c>
      <c r="J30" s="3">
        <v>7</v>
      </c>
      <c r="K30" s="3">
        <v>8</v>
      </c>
      <c r="L30" s="3">
        <v>9</v>
      </c>
      <c r="M30" s="3">
        <v>10</v>
      </c>
      <c r="N30" s="3">
        <v>11</v>
      </c>
      <c r="O30" s="3">
        <v>12</v>
      </c>
      <c r="U30" s="10">
        <v>2</v>
      </c>
      <c r="V30" s="19" t="s">
        <v>48</v>
      </c>
      <c r="W30" s="2">
        <v>1.1000000000000001</v>
      </c>
      <c r="X30" s="2">
        <v>29.5</v>
      </c>
      <c r="Y30" s="2">
        <f t="shared" ref="Y30:Y31" si="0">1300-X30</f>
        <v>1270.5</v>
      </c>
      <c r="Z30" s="2">
        <v>0.02</v>
      </c>
      <c r="AA30" s="2">
        <v>12.5</v>
      </c>
    </row>
    <row r="31" spans="1:27" ht="34" x14ac:dyDescent="0.2">
      <c r="A31" s="5" t="s">
        <v>2</v>
      </c>
      <c r="B31" s="6" t="s">
        <v>49</v>
      </c>
      <c r="C31" s="6"/>
      <c r="D31" s="6"/>
      <c r="E31" s="6"/>
      <c r="F31" s="6"/>
      <c r="G31" s="7"/>
      <c r="H31" s="7"/>
      <c r="I31" s="19"/>
      <c r="J31" s="19"/>
      <c r="K31" s="19"/>
      <c r="L31" s="7"/>
      <c r="M31" s="7"/>
      <c r="N31" s="7"/>
      <c r="O31" s="7"/>
      <c r="U31" s="10">
        <v>3</v>
      </c>
      <c r="V31" s="19" t="s">
        <v>50</v>
      </c>
      <c r="W31" s="2">
        <v>1.27</v>
      </c>
      <c r="X31" s="2">
        <v>25.6</v>
      </c>
      <c r="Y31" s="2">
        <f t="shared" si="0"/>
        <v>1274.4000000000001</v>
      </c>
      <c r="Z31" s="2">
        <v>2.1000000000000001E-2</v>
      </c>
      <c r="AA31" s="2">
        <v>12.5</v>
      </c>
    </row>
    <row r="32" spans="1:27" x14ac:dyDescent="0.2">
      <c r="A32" s="5" t="s">
        <v>5</v>
      </c>
      <c r="B32" s="9">
        <v>0.1</v>
      </c>
      <c r="C32" s="9"/>
      <c r="D32" s="2"/>
      <c r="E32" s="2"/>
      <c r="F32" s="6"/>
      <c r="G32" s="6"/>
      <c r="H32" s="6"/>
      <c r="I32" s="6"/>
      <c r="J32" s="6"/>
      <c r="K32" s="6"/>
      <c r="L32" s="6"/>
      <c r="M32" s="6"/>
      <c r="N32" s="10"/>
      <c r="O32" s="2"/>
    </row>
    <row r="33" spans="1:15" x14ac:dyDescent="0.2">
      <c r="A33" s="5" t="s">
        <v>7</v>
      </c>
      <c r="B33" s="7">
        <f>B32/10</f>
        <v>0.01</v>
      </c>
      <c r="C33" s="7"/>
      <c r="D33" s="7"/>
      <c r="E33" s="7"/>
      <c r="F33" s="7"/>
      <c r="G33" s="6"/>
      <c r="H33" s="7"/>
      <c r="I33" s="7"/>
      <c r="J33" s="7"/>
      <c r="K33" s="6"/>
      <c r="L33" s="7"/>
      <c r="M33" s="7"/>
      <c r="N33" s="7"/>
      <c r="O33" s="2"/>
    </row>
    <row r="34" spans="1:15" x14ac:dyDescent="0.2">
      <c r="A34" s="5" t="s">
        <v>9</v>
      </c>
      <c r="B34" s="7">
        <f>B33/10</f>
        <v>1E-3</v>
      </c>
      <c r="C34" s="7"/>
      <c r="D34" s="6"/>
      <c r="E34" s="6"/>
      <c r="F34" s="6"/>
      <c r="G34" s="7"/>
      <c r="H34" s="7"/>
      <c r="I34" s="19"/>
      <c r="J34" s="19"/>
      <c r="K34" s="19"/>
      <c r="L34" s="7"/>
      <c r="M34" s="7"/>
      <c r="O34" s="2"/>
    </row>
    <row r="35" spans="1:15" x14ac:dyDescent="0.2">
      <c r="A35" s="5" t="s">
        <v>11</v>
      </c>
      <c r="B35" s="9">
        <v>0.1</v>
      </c>
      <c r="C35" s="9"/>
      <c r="D35" s="11"/>
      <c r="E35" s="11"/>
      <c r="F35" s="6"/>
      <c r="G35" s="10"/>
      <c r="H35" s="6"/>
      <c r="I35" s="6"/>
      <c r="J35" s="6"/>
      <c r="K35" s="10"/>
      <c r="L35" s="10"/>
      <c r="M35" s="10"/>
      <c r="N35" s="10"/>
      <c r="O35" s="2"/>
    </row>
    <row r="36" spans="1:15" x14ac:dyDescent="0.2">
      <c r="A36" s="5" t="s">
        <v>13</v>
      </c>
      <c r="B36" s="7">
        <f>B35/10</f>
        <v>0.01</v>
      </c>
      <c r="C36" s="7"/>
      <c r="D36" s="10"/>
      <c r="E36" s="10"/>
      <c r="F36" s="6"/>
      <c r="G36" s="10"/>
      <c r="H36" s="2"/>
      <c r="I36" s="10"/>
      <c r="J36" s="20"/>
      <c r="K36" s="10"/>
      <c r="L36" s="10"/>
      <c r="M36" s="10"/>
      <c r="N36" s="10"/>
      <c r="O36" s="2"/>
    </row>
    <row r="37" spans="1:15" x14ac:dyDescent="0.2">
      <c r="A37" s="5" t="s">
        <v>15</v>
      </c>
      <c r="B37" s="7">
        <f>B36/10</f>
        <v>1E-3</v>
      </c>
      <c r="C37" s="7"/>
      <c r="D37" s="11"/>
      <c r="E37" s="11"/>
      <c r="F37" s="6"/>
      <c r="G37" s="6"/>
      <c r="H37" s="6"/>
      <c r="I37" s="6"/>
      <c r="J37" s="6"/>
      <c r="K37" s="2"/>
      <c r="L37" s="6"/>
      <c r="M37" s="6"/>
      <c r="N37" s="6"/>
      <c r="O37" s="6"/>
    </row>
    <row r="38" spans="1:15" x14ac:dyDescent="0.2">
      <c r="A38" s="5" t="s">
        <v>17</v>
      </c>
      <c r="B38" s="9"/>
      <c r="C38" s="9"/>
      <c r="D38" s="11"/>
      <c r="E38" s="11"/>
      <c r="F38" s="6"/>
      <c r="G38" s="2"/>
      <c r="H38" s="2"/>
      <c r="I38" s="2"/>
      <c r="J38" s="8"/>
      <c r="K38" s="2"/>
      <c r="L38" s="2"/>
      <c r="M38" s="2"/>
      <c r="N38" s="2"/>
      <c r="O38" s="2"/>
    </row>
  </sheetData>
  <mergeCells count="2">
    <mergeCell ref="X27:Y27"/>
    <mergeCell ref="F10:F11"/>
  </mergeCells>
  <pageMargins left="0.7" right="0.7" top="0.75" bottom="0.75" header="0.3" footer="0.3"/>
  <pageSetup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4700-43F2-4A60-9083-142E0D60CEE8}">
  <sheetPr>
    <pageSetUpPr fitToPage="1"/>
  </sheetPr>
  <dimension ref="A1:N48"/>
  <sheetViews>
    <sheetView showRuler="0" topLeftCell="A15" workbookViewId="0">
      <selection activeCell="A28" sqref="A28:C48"/>
    </sheetView>
  </sheetViews>
  <sheetFormatPr baseColWidth="10" defaultColWidth="10.6640625" defaultRowHeight="16" x14ac:dyDescent="0.2"/>
  <cols>
    <col min="1" max="1" width="15.6640625" bestFit="1" customWidth="1"/>
    <col min="2" max="2" width="9" bestFit="1" customWidth="1"/>
    <col min="3" max="3" width="8.6640625" customWidth="1"/>
    <col min="4" max="5" width="6" bestFit="1" customWidth="1"/>
    <col min="6" max="6" width="8.1640625" bestFit="1" customWidth="1"/>
    <col min="7" max="8" width="9.33203125" bestFit="1" customWidth="1"/>
    <col min="9" max="9" width="10.1640625" customWidth="1"/>
    <col min="10" max="11" width="8.83203125" bestFit="1" customWidth="1"/>
    <col min="12" max="12" width="13.1640625" bestFit="1" customWidth="1"/>
    <col min="13" max="13" width="10.1640625" bestFit="1" customWidth="1"/>
  </cols>
  <sheetData>
    <row r="1" spans="1:14" x14ac:dyDescent="0.2">
      <c r="A1" s="121" t="s">
        <v>159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4" ht="51" x14ac:dyDescent="0.2">
      <c r="A2" s="24"/>
      <c r="B2" s="26" t="s">
        <v>52</v>
      </c>
      <c r="C2" s="24">
        <v>3</v>
      </c>
      <c r="D2" s="24">
        <v>4</v>
      </c>
      <c r="E2" s="27">
        <v>5</v>
      </c>
      <c r="F2" s="28" t="s">
        <v>53</v>
      </c>
      <c r="G2" s="28" t="s">
        <v>54</v>
      </c>
      <c r="H2" s="28" t="s">
        <v>55</v>
      </c>
      <c r="I2" s="28" t="s">
        <v>56</v>
      </c>
      <c r="J2" s="28" t="s">
        <v>57</v>
      </c>
      <c r="K2" s="28" t="s">
        <v>56</v>
      </c>
      <c r="L2" s="29" t="s">
        <v>115</v>
      </c>
    </row>
    <row r="3" spans="1:14" x14ac:dyDescent="0.2">
      <c r="A3" s="119" t="s">
        <v>3</v>
      </c>
      <c r="B3" s="30" t="s">
        <v>58</v>
      </c>
      <c r="C3" s="13" t="s">
        <v>59</v>
      </c>
      <c r="D3" s="13" t="s">
        <v>59</v>
      </c>
      <c r="E3" s="35">
        <v>56</v>
      </c>
      <c r="F3" s="13">
        <v>1E-4</v>
      </c>
      <c r="G3" s="14">
        <f>E3/(F3*0.01)</f>
        <v>55999999.999999993</v>
      </c>
      <c r="H3" s="8">
        <f>AVERAGE(G3:G4)</f>
        <v>58999999.999999993</v>
      </c>
      <c r="I3" s="8">
        <f>STDEV(G3:G4)</f>
        <v>4242640.6871192856</v>
      </c>
      <c r="J3" s="8">
        <f>H3*0.05</f>
        <v>2950000</v>
      </c>
      <c r="K3" s="8">
        <f>I3*0.05</f>
        <v>212132.03435596428</v>
      </c>
      <c r="L3" s="12">
        <f>J3/$N$3</f>
        <v>10</v>
      </c>
      <c r="N3" s="1">
        <v>295000</v>
      </c>
    </row>
    <row r="4" spans="1:14" x14ac:dyDescent="0.2">
      <c r="A4" s="120"/>
      <c r="B4" s="30" t="s">
        <v>60</v>
      </c>
      <c r="C4" s="13" t="s">
        <v>59</v>
      </c>
      <c r="D4" s="13" t="s">
        <v>59</v>
      </c>
      <c r="E4" s="35">
        <v>62</v>
      </c>
      <c r="F4" s="13">
        <v>1E-4</v>
      </c>
      <c r="G4" s="14">
        <f>E4/(F4*0.01)</f>
        <v>61999999.999999993</v>
      </c>
      <c r="H4" s="8"/>
      <c r="I4" s="8"/>
      <c r="J4" s="8"/>
      <c r="K4" s="8"/>
      <c r="L4" s="12"/>
      <c r="N4" s="1"/>
    </row>
    <row r="5" spans="1:14" x14ac:dyDescent="0.2">
      <c r="A5" s="117" t="s">
        <v>113</v>
      </c>
      <c r="B5" s="30" t="s">
        <v>61</v>
      </c>
      <c r="C5" s="13" t="s">
        <v>59</v>
      </c>
      <c r="D5" s="13" t="s">
        <v>59</v>
      </c>
      <c r="E5" s="35">
        <v>40</v>
      </c>
      <c r="F5" s="13">
        <v>1E-4</v>
      </c>
      <c r="G5" s="14">
        <f t="shared" ref="G5:G7" si="0">E5/(F5*0.01)</f>
        <v>39999999.999999993</v>
      </c>
      <c r="H5" s="8">
        <f>AVERAGE(G5:G6)</f>
        <v>28999999.999999993</v>
      </c>
      <c r="I5" s="8">
        <f>STDEV(G5:G6)</f>
        <v>15556349.186104054</v>
      </c>
      <c r="J5" s="8">
        <f>H5*0.05</f>
        <v>1449999.9999999998</v>
      </c>
      <c r="K5" s="8">
        <f>I5*0.05</f>
        <v>777817.4593052027</v>
      </c>
      <c r="L5" s="12">
        <f>J5/$N$3</f>
        <v>4.9152542372881349</v>
      </c>
    </row>
    <row r="6" spans="1:14" x14ac:dyDescent="0.2">
      <c r="A6" s="118"/>
      <c r="B6" s="30" t="s">
        <v>62</v>
      </c>
      <c r="C6" s="13" t="s">
        <v>59</v>
      </c>
      <c r="D6" s="13" t="s">
        <v>59</v>
      </c>
      <c r="E6" s="35">
        <v>18</v>
      </c>
      <c r="F6" s="13">
        <v>1E-4</v>
      </c>
      <c r="G6" s="14">
        <f t="shared" si="0"/>
        <v>17999999.999999996</v>
      </c>
      <c r="H6" s="21"/>
      <c r="I6" s="21"/>
      <c r="J6" s="8"/>
      <c r="K6" s="8"/>
      <c r="L6" s="12"/>
    </row>
    <row r="7" spans="1:14" ht="16" customHeight="1" x14ac:dyDescent="0.2">
      <c r="A7" s="117" t="s">
        <v>114</v>
      </c>
      <c r="B7" s="30" t="s">
        <v>63</v>
      </c>
      <c r="C7" s="13" t="s">
        <v>59</v>
      </c>
      <c r="D7" s="13" t="s">
        <v>59</v>
      </c>
      <c r="E7" s="35">
        <v>63</v>
      </c>
      <c r="F7" s="13">
        <v>1E-4</v>
      </c>
      <c r="G7" s="14">
        <f t="shared" si="0"/>
        <v>62999999.999999993</v>
      </c>
      <c r="H7" s="8">
        <f>AVERAGE(G7:G8)</f>
        <v>57499999.999999993</v>
      </c>
      <c r="I7" s="8">
        <f>STDEV(G7:G8)</f>
        <v>7778174.5930520231</v>
      </c>
      <c r="J7" s="8">
        <f>H7*0.05</f>
        <v>2875000</v>
      </c>
      <c r="K7" s="8">
        <f>I7*0.05</f>
        <v>388908.72965260118</v>
      </c>
      <c r="L7" s="12">
        <f>J7/$N$3</f>
        <v>9.7457627118644066</v>
      </c>
    </row>
    <row r="8" spans="1:14" x14ac:dyDescent="0.2">
      <c r="A8" s="118"/>
      <c r="B8" s="30" t="s">
        <v>64</v>
      </c>
      <c r="C8" s="13" t="s">
        <v>59</v>
      </c>
      <c r="D8" s="13" t="s">
        <v>59</v>
      </c>
      <c r="E8" s="35">
        <v>52</v>
      </c>
      <c r="F8" s="13">
        <v>1E-4</v>
      </c>
      <c r="G8" s="14">
        <f>E8/(F8*0.01)</f>
        <v>51999999.999999993</v>
      </c>
      <c r="H8" s="21"/>
      <c r="I8" s="21"/>
      <c r="J8" s="8"/>
      <c r="K8" s="8"/>
      <c r="L8" s="12"/>
    </row>
    <row r="9" spans="1:14" ht="16" customHeight="1" x14ac:dyDescent="0.2">
      <c r="A9" s="117" t="s">
        <v>160</v>
      </c>
      <c r="B9" s="30" t="s">
        <v>111</v>
      </c>
      <c r="C9" s="13" t="s">
        <v>59</v>
      </c>
      <c r="D9" s="13" t="s">
        <v>59</v>
      </c>
      <c r="E9" s="35">
        <v>52</v>
      </c>
      <c r="F9" s="13">
        <v>1E-4</v>
      </c>
      <c r="G9" s="14">
        <f>E9/(F9*0.01)</f>
        <v>51999999.999999993</v>
      </c>
      <c r="H9" s="8">
        <f>AVERAGE(G9:G10)</f>
        <v>43499999.999999993</v>
      </c>
      <c r="I9" s="8">
        <f>STDEV(G9:G10)</f>
        <v>12020815.280171309</v>
      </c>
      <c r="J9" s="8">
        <f>H9*0.05</f>
        <v>2174999.9999999995</v>
      </c>
      <c r="K9" s="8">
        <f>I9*0.05</f>
        <v>601040.76400856546</v>
      </c>
      <c r="L9" s="12">
        <f>J9/$N$3</f>
        <v>7.3728813559322015</v>
      </c>
    </row>
    <row r="10" spans="1:14" x14ac:dyDescent="0.2">
      <c r="A10" s="118"/>
      <c r="B10" s="30" t="s">
        <v>112</v>
      </c>
      <c r="C10" s="13" t="s">
        <v>59</v>
      </c>
      <c r="D10" s="13" t="s">
        <v>59</v>
      </c>
      <c r="E10" s="35">
        <v>35</v>
      </c>
      <c r="F10" s="13">
        <v>1E-4</v>
      </c>
      <c r="G10" s="14">
        <f>E10/(F10*0.01)</f>
        <v>34999999.999999993</v>
      </c>
      <c r="H10" s="21"/>
      <c r="I10" s="21"/>
      <c r="J10" s="8"/>
      <c r="K10" s="8"/>
      <c r="L10" s="12"/>
    </row>
    <row r="11" spans="1:14" x14ac:dyDescent="0.2">
      <c r="A11" s="2" t="s">
        <v>65</v>
      </c>
      <c r="B11" s="2"/>
      <c r="C11" s="2">
        <v>0.01</v>
      </c>
      <c r="D11" s="2">
        <f>C11/10</f>
        <v>1E-3</v>
      </c>
      <c r="E11" s="2">
        <f>D11/10</f>
        <v>1E-4</v>
      </c>
    </row>
    <row r="13" spans="1:14" x14ac:dyDescent="0.2">
      <c r="A13" s="123" t="s">
        <v>158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</row>
    <row r="14" spans="1:14" ht="16" customHeight="1" x14ac:dyDescent="0.2">
      <c r="A14" s="24"/>
      <c r="B14" s="26" t="s">
        <v>52</v>
      </c>
      <c r="C14" s="24">
        <v>3</v>
      </c>
      <c r="D14" s="24">
        <v>4</v>
      </c>
      <c r="E14" s="27">
        <v>5</v>
      </c>
      <c r="F14" s="28" t="s">
        <v>53</v>
      </c>
      <c r="G14" s="28" t="s">
        <v>54</v>
      </c>
      <c r="H14" s="28" t="s">
        <v>55</v>
      </c>
      <c r="I14" s="28" t="s">
        <v>56</v>
      </c>
      <c r="J14" s="28" t="s">
        <v>57</v>
      </c>
      <c r="K14" s="28" t="s">
        <v>56</v>
      </c>
      <c r="L14" s="29" t="s">
        <v>115</v>
      </c>
    </row>
    <row r="15" spans="1:14" x14ac:dyDescent="0.2">
      <c r="A15" s="119" t="s">
        <v>3</v>
      </c>
      <c r="B15" s="88" t="s">
        <v>58</v>
      </c>
      <c r="C15" s="13" t="s">
        <v>59</v>
      </c>
      <c r="D15" s="13" t="s">
        <v>59</v>
      </c>
      <c r="E15" s="35">
        <v>20</v>
      </c>
      <c r="F15" s="13">
        <v>1E-4</v>
      </c>
      <c r="G15" s="14">
        <f>E15/(F15*0.01)</f>
        <v>19999999.999999996</v>
      </c>
      <c r="H15" s="8">
        <f>AVERAGE(G15:G16)</f>
        <v>20499999.999999996</v>
      </c>
      <c r="I15" s="8">
        <f>STDEV(G15:G16)</f>
        <v>707106.78118654748</v>
      </c>
      <c r="J15" s="8">
        <f>H15*0.05</f>
        <v>1024999.9999999999</v>
      </c>
      <c r="K15" s="8">
        <f>I15*0.05</f>
        <v>35355.339059327373</v>
      </c>
      <c r="L15" s="12">
        <f>J15/$N$3</f>
        <v>3.4745762711864403</v>
      </c>
    </row>
    <row r="16" spans="1:14" x14ac:dyDescent="0.2">
      <c r="A16" s="120"/>
      <c r="B16" s="88" t="s">
        <v>60</v>
      </c>
      <c r="C16" s="13" t="s">
        <v>59</v>
      </c>
      <c r="D16" s="13" t="s">
        <v>59</v>
      </c>
      <c r="E16" s="35">
        <v>21</v>
      </c>
      <c r="F16" s="13">
        <v>1E-4</v>
      </c>
      <c r="G16" s="14">
        <f>E16/(F16*0.01)</f>
        <v>20999999.999999996</v>
      </c>
      <c r="H16" s="8"/>
      <c r="I16" s="8"/>
      <c r="J16" s="8"/>
      <c r="K16" s="8"/>
      <c r="L16" s="12"/>
    </row>
    <row r="17" spans="1:12" x14ac:dyDescent="0.2">
      <c r="A17" s="117" t="s">
        <v>113</v>
      </c>
      <c r="B17" s="88" t="s">
        <v>61</v>
      </c>
      <c r="C17" s="13" t="s">
        <v>59</v>
      </c>
      <c r="D17" s="13" t="s">
        <v>59</v>
      </c>
      <c r="E17" s="35">
        <v>26</v>
      </c>
      <c r="F17" s="13">
        <v>1E-4</v>
      </c>
      <c r="G17" s="14">
        <f t="shared" ref="G17:G19" si="1">E17/(F17*0.01)</f>
        <v>25999999.999999996</v>
      </c>
      <c r="H17" s="8">
        <f>AVERAGE(G17:G18)</f>
        <v>22999999.999999996</v>
      </c>
      <c r="I17" s="8">
        <f>STDEV(G17:G18)</f>
        <v>4242640.6871192856</v>
      </c>
      <c r="J17" s="8">
        <f>H17*0.05</f>
        <v>1149999.9999999998</v>
      </c>
      <c r="K17" s="8">
        <f>I17*0.05</f>
        <v>212132.03435596428</v>
      </c>
      <c r="L17" s="12">
        <f>J17/$N$3</f>
        <v>3.8983050847457621</v>
      </c>
    </row>
    <row r="18" spans="1:12" x14ac:dyDescent="0.2">
      <c r="A18" s="118"/>
      <c r="B18" s="88" t="s">
        <v>62</v>
      </c>
      <c r="C18" s="13" t="s">
        <v>59</v>
      </c>
      <c r="D18" s="13" t="s">
        <v>59</v>
      </c>
      <c r="E18" s="35">
        <v>20</v>
      </c>
      <c r="F18" s="13">
        <v>1E-4</v>
      </c>
      <c r="G18" s="14">
        <f t="shared" si="1"/>
        <v>19999999.999999996</v>
      </c>
      <c r="H18" s="21"/>
      <c r="I18" s="21"/>
      <c r="J18" s="8"/>
      <c r="K18" s="8"/>
      <c r="L18" s="12"/>
    </row>
    <row r="19" spans="1:12" x14ac:dyDescent="0.2">
      <c r="A19" s="117" t="s">
        <v>114</v>
      </c>
      <c r="B19" s="88" t="s">
        <v>63</v>
      </c>
      <c r="C19" s="13" t="s">
        <v>59</v>
      </c>
      <c r="D19" s="13" t="s">
        <v>59</v>
      </c>
      <c r="E19" s="35">
        <v>24</v>
      </c>
      <c r="F19" s="13">
        <v>1E-4</v>
      </c>
      <c r="G19" s="14">
        <f t="shared" si="1"/>
        <v>23999999.999999996</v>
      </c>
      <c r="H19" s="8">
        <f>AVERAGE(G19:G20)</f>
        <v>20999999.999999996</v>
      </c>
      <c r="I19" s="8">
        <f>STDEV(G19:G20)</f>
        <v>4242640.6871192995</v>
      </c>
      <c r="J19" s="8">
        <f>H19*0.05</f>
        <v>1049999.9999999998</v>
      </c>
      <c r="K19" s="8">
        <f>I19*0.05</f>
        <v>212132.03435596498</v>
      </c>
      <c r="L19" s="12">
        <f>J19/$N$3</f>
        <v>3.5593220338983045</v>
      </c>
    </row>
    <row r="20" spans="1:12" ht="16" customHeight="1" x14ac:dyDescent="0.2">
      <c r="A20" s="118"/>
      <c r="B20" s="88" t="s">
        <v>64</v>
      </c>
      <c r="C20" s="13" t="s">
        <v>59</v>
      </c>
      <c r="D20" s="13" t="s">
        <v>59</v>
      </c>
      <c r="E20" s="35">
        <v>18</v>
      </c>
      <c r="F20" s="13">
        <v>1E-4</v>
      </c>
      <c r="G20" s="14">
        <f>E20/(F20*0.01)</f>
        <v>17999999.999999996</v>
      </c>
      <c r="H20" s="21"/>
      <c r="I20" s="21"/>
      <c r="J20" s="8"/>
      <c r="K20" s="8"/>
      <c r="L20" s="12"/>
    </row>
    <row r="21" spans="1:12" x14ac:dyDescent="0.2">
      <c r="A21" s="117" t="s">
        <v>160</v>
      </c>
      <c r="B21" s="88" t="s">
        <v>111</v>
      </c>
      <c r="C21" s="13" t="s">
        <v>59</v>
      </c>
      <c r="D21" s="13" t="s">
        <v>59</v>
      </c>
      <c r="E21" s="35">
        <v>28</v>
      </c>
      <c r="F21" s="13">
        <v>1E-4</v>
      </c>
      <c r="G21" s="14">
        <f>E21/(F21*0.01)</f>
        <v>27999999.999999996</v>
      </c>
      <c r="H21" s="8">
        <f>AVERAGE(G21:G22)</f>
        <v>27499999.999999996</v>
      </c>
      <c r="I21" s="8">
        <f>STDEV(G21:G22)</f>
        <v>707106.78118654748</v>
      </c>
      <c r="J21" s="8">
        <f>H21*0.05</f>
        <v>1375000</v>
      </c>
      <c r="K21" s="8">
        <f>I21*0.05</f>
        <v>35355.339059327373</v>
      </c>
      <c r="L21" s="12">
        <f>J21/$N$3</f>
        <v>4.6610169491525424</v>
      </c>
    </row>
    <row r="22" spans="1:12" x14ac:dyDescent="0.2">
      <c r="A22" s="118"/>
      <c r="B22" s="88" t="s">
        <v>112</v>
      </c>
      <c r="C22" s="13" t="s">
        <v>59</v>
      </c>
      <c r="D22" s="13" t="s">
        <v>59</v>
      </c>
      <c r="E22" s="35">
        <v>27</v>
      </c>
      <c r="F22" s="13">
        <v>1E-4</v>
      </c>
      <c r="G22" s="14">
        <f>E22/(F22*0.01)</f>
        <v>26999999.999999996</v>
      </c>
      <c r="H22" s="21"/>
      <c r="I22" s="21"/>
      <c r="J22" s="8"/>
      <c r="K22" s="8"/>
      <c r="L22" s="12"/>
    </row>
    <row r="23" spans="1:12" x14ac:dyDescent="0.2">
      <c r="A23" s="2" t="s">
        <v>65</v>
      </c>
      <c r="B23" s="2"/>
      <c r="C23" s="2">
        <v>0.01</v>
      </c>
      <c r="D23" s="2">
        <f>C23/10</f>
        <v>1E-3</v>
      </c>
      <c r="E23" s="2">
        <f>D23/10</f>
        <v>1E-4</v>
      </c>
    </row>
    <row r="28" spans="1:12" x14ac:dyDescent="0.2">
      <c r="A28" t="s">
        <v>161</v>
      </c>
    </row>
    <row r="29" spans="1:12" x14ac:dyDescent="0.2">
      <c r="A29" s="71" t="s">
        <v>42</v>
      </c>
      <c r="B29" s="71" t="s">
        <v>57</v>
      </c>
      <c r="C29" s="71" t="s">
        <v>56</v>
      </c>
    </row>
    <row r="30" spans="1:12" x14ac:dyDescent="0.2">
      <c r="A30" s="67" t="s">
        <v>3</v>
      </c>
      <c r="B30" s="8">
        <f>J3</f>
        <v>2950000</v>
      </c>
      <c r="C30" s="8">
        <f>K3</f>
        <v>212132.03435596428</v>
      </c>
    </row>
    <row r="31" spans="1:12" x14ac:dyDescent="0.2">
      <c r="A31" s="67" t="s">
        <v>104</v>
      </c>
      <c r="B31" s="8">
        <f>J5</f>
        <v>1449999.9999999998</v>
      </c>
      <c r="C31" s="8">
        <f>K5</f>
        <v>777817.4593052027</v>
      </c>
    </row>
    <row r="32" spans="1:12" x14ac:dyDescent="0.2">
      <c r="A32" s="67" t="s">
        <v>105</v>
      </c>
      <c r="B32" s="8">
        <f>J7</f>
        <v>2875000</v>
      </c>
      <c r="C32" s="8">
        <f>K7</f>
        <v>388908.72965260118</v>
      </c>
    </row>
    <row r="33" spans="1:3" x14ac:dyDescent="0.2">
      <c r="A33" s="67" t="s">
        <v>138</v>
      </c>
      <c r="B33" s="8">
        <f>J9</f>
        <v>2174999.9999999995</v>
      </c>
      <c r="C33" s="8">
        <f>K9</f>
        <v>601040.76400856546</v>
      </c>
    </row>
    <row r="35" spans="1:3" x14ac:dyDescent="0.2">
      <c r="A35" t="s">
        <v>162</v>
      </c>
    </row>
    <row r="36" spans="1:3" x14ac:dyDescent="0.2">
      <c r="A36" s="89" t="s">
        <v>42</v>
      </c>
      <c r="B36" s="89" t="s">
        <v>57</v>
      </c>
      <c r="C36" s="89" t="s">
        <v>56</v>
      </c>
    </row>
    <row r="37" spans="1:3" x14ac:dyDescent="0.2">
      <c r="A37" s="67" t="s">
        <v>3</v>
      </c>
      <c r="B37" s="8">
        <f>J15</f>
        <v>1024999.9999999999</v>
      </c>
      <c r="C37" s="8">
        <f>K15</f>
        <v>35355.339059327373</v>
      </c>
    </row>
    <row r="38" spans="1:3" x14ac:dyDescent="0.2">
      <c r="A38" s="67" t="s">
        <v>104</v>
      </c>
      <c r="B38" s="8">
        <f>J17</f>
        <v>1149999.9999999998</v>
      </c>
      <c r="C38" s="8">
        <f>K17</f>
        <v>212132.03435596428</v>
      </c>
    </row>
    <row r="39" spans="1:3" x14ac:dyDescent="0.2">
      <c r="A39" s="67" t="s">
        <v>105</v>
      </c>
      <c r="B39" s="8">
        <f>J19</f>
        <v>1049999.9999999998</v>
      </c>
      <c r="C39" s="8">
        <f>K19</f>
        <v>212132.03435596498</v>
      </c>
    </row>
    <row r="40" spans="1:3" x14ac:dyDescent="0.2">
      <c r="A40" s="67" t="s">
        <v>138</v>
      </c>
      <c r="B40" s="8">
        <f>J21</f>
        <v>1375000</v>
      </c>
      <c r="C40" s="8">
        <f>K21</f>
        <v>35355.339059327373</v>
      </c>
    </row>
    <row r="43" spans="1:3" x14ac:dyDescent="0.2">
      <c r="A43" t="s">
        <v>163</v>
      </c>
    </row>
    <row r="44" spans="1:3" x14ac:dyDescent="0.2">
      <c r="A44" s="89" t="s">
        <v>42</v>
      </c>
      <c r="B44" s="89" t="s">
        <v>57</v>
      </c>
    </row>
    <row r="45" spans="1:3" x14ac:dyDescent="0.2">
      <c r="A45" s="67" t="s">
        <v>3</v>
      </c>
      <c r="B45" s="12">
        <f>B30/B37</f>
        <v>2.8780487804878052</v>
      </c>
    </row>
    <row r="46" spans="1:3" x14ac:dyDescent="0.2">
      <c r="A46" s="67" t="s">
        <v>104</v>
      </c>
      <c r="B46" s="12">
        <f t="shared" ref="B46:B48" si="2">B31/B38</f>
        <v>1.2608695652173914</v>
      </c>
    </row>
    <row r="47" spans="1:3" x14ac:dyDescent="0.2">
      <c r="A47" s="67" t="s">
        <v>105</v>
      </c>
      <c r="B47" s="12">
        <f t="shared" si="2"/>
        <v>2.7380952380952386</v>
      </c>
    </row>
    <row r="48" spans="1:3" x14ac:dyDescent="0.2">
      <c r="A48" s="67" t="s">
        <v>138</v>
      </c>
      <c r="B48" s="12">
        <f t="shared" si="2"/>
        <v>1.5818181818181816</v>
      </c>
    </row>
  </sheetData>
  <mergeCells count="10">
    <mergeCell ref="A15:A16"/>
    <mergeCell ref="A17:A18"/>
    <mergeCell ref="A19:A20"/>
    <mergeCell ref="A21:A22"/>
    <mergeCell ref="A13:L13"/>
    <mergeCell ref="A9:A10"/>
    <mergeCell ref="A3:A4"/>
    <mergeCell ref="A5:A6"/>
    <mergeCell ref="A7:A8"/>
    <mergeCell ref="A1:L1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C96-511D-4F07-A849-4459F95A19A4}">
  <sheetPr>
    <pageSetUpPr fitToPage="1"/>
  </sheetPr>
  <dimension ref="A1:AB42"/>
  <sheetViews>
    <sheetView tabSelected="1" showRuler="0" topLeftCell="A4" zoomScale="110" zoomScaleNormal="110" workbookViewId="0">
      <selection activeCell="L33" sqref="L33:L36"/>
    </sheetView>
  </sheetViews>
  <sheetFormatPr baseColWidth="10" defaultColWidth="10.6640625" defaultRowHeight="16" x14ac:dyDescent="0.2"/>
  <cols>
    <col min="1" max="2" width="17.33203125" customWidth="1"/>
    <col min="3" max="3" width="5.5" bestFit="1" customWidth="1"/>
    <col min="4" max="5" width="7" bestFit="1" customWidth="1"/>
    <col min="6" max="6" width="8.1640625" bestFit="1" customWidth="1"/>
    <col min="7" max="7" width="8.33203125" bestFit="1" customWidth="1"/>
    <col min="8" max="8" width="8.83203125" bestFit="1" customWidth="1"/>
    <col min="9" max="9" width="8.1640625" customWidth="1"/>
    <col min="11" max="11" width="2.1640625" bestFit="1" customWidth="1"/>
    <col min="12" max="12" width="17" customWidth="1"/>
    <col min="13" max="13" width="9" bestFit="1" customWidth="1"/>
    <col min="14" max="15" width="8.83203125" bestFit="1" customWidth="1"/>
    <col min="16" max="16" width="7.6640625" bestFit="1" customWidth="1"/>
    <col min="17" max="17" width="6" bestFit="1" customWidth="1"/>
    <col min="18" max="18" width="11.33203125" customWidth="1"/>
    <col min="19" max="19" width="12.1640625" customWidth="1"/>
  </cols>
  <sheetData>
    <row r="1" spans="1:28" x14ac:dyDescent="0.2">
      <c r="A1" s="4"/>
      <c r="B1" s="4"/>
      <c r="C1" s="4"/>
      <c r="F1" s="4"/>
      <c r="G1" s="4"/>
      <c r="H1" s="25"/>
      <c r="I1" s="25"/>
      <c r="J1" s="25"/>
      <c r="K1" s="50"/>
      <c r="L1" s="31"/>
      <c r="M1" s="31"/>
      <c r="N1" s="31"/>
      <c r="O1" s="32"/>
      <c r="P1" s="32"/>
    </row>
    <row r="2" spans="1:28" ht="51" x14ac:dyDescent="0.2">
      <c r="A2" s="24"/>
      <c r="B2" s="24" t="s">
        <v>174</v>
      </c>
      <c r="C2" s="33" t="s">
        <v>66</v>
      </c>
      <c r="D2" s="33" t="s">
        <v>67</v>
      </c>
      <c r="E2" s="33" t="s">
        <v>68</v>
      </c>
      <c r="F2" s="29" t="s">
        <v>53</v>
      </c>
      <c r="G2" s="29" t="s">
        <v>69</v>
      </c>
      <c r="H2" s="29" t="s">
        <v>70</v>
      </c>
      <c r="I2" s="29" t="s">
        <v>71</v>
      </c>
      <c r="K2" s="30" t="s">
        <v>99</v>
      </c>
      <c r="L2" s="2"/>
      <c r="M2" s="29" t="s">
        <v>174</v>
      </c>
      <c r="N2" s="28" t="s">
        <v>72</v>
      </c>
      <c r="O2" s="24" t="s">
        <v>73</v>
      </c>
      <c r="P2" s="34" t="s">
        <v>74</v>
      </c>
      <c r="Q2" s="33" t="s">
        <v>71</v>
      </c>
      <c r="R2" s="29" t="s">
        <v>170</v>
      </c>
      <c r="S2" s="29" t="s">
        <v>175</v>
      </c>
    </row>
    <row r="3" spans="1:28" ht="17" x14ac:dyDescent="0.2">
      <c r="A3" s="127" t="s">
        <v>3</v>
      </c>
      <c r="B3" s="43" t="s">
        <v>164</v>
      </c>
      <c r="C3" s="10" t="s">
        <v>58</v>
      </c>
      <c r="D3" s="35">
        <v>730</v>
      </c>
      <c r="E3" s="35">
        <v>699</v>
      </c>
      <c r="F3" s="13">
        <v>1</v>
      </c>
      <c r="G3" s="21">
        <f t="shared" ref="G3:G11" si="0">AVERAGE(D3,E3)</f>
        <v>714.5</v>
      </c>
      <c r="H3" s="8">
        <f>(G3/(0.05*F3))*1</f>
        <v>14290</v>
      </c>
      <c r="I3" s="130">
        <f>TTEST(H3:H5,H3:H5,2,2)</f>
        <v>1</v>
      </c>
      <c r="J3" s="1"/>
      <c r="K3" s="60">
        <v>1</v>
      </c>
      <c r="L3" s="125" t="s">
        <v>3</v>
      </c>
      <c r="M3" s="6" t="s">
        <v>164</v>
      </c>
      <c r="N3" s="8">
        <f>AVERAGE(H3:H5)</f>
        <v>16716.666666666668</v>
      </c>
      <c r="O3" s="8">
        <f>STDEV(H3:H5)</f>
        <v>3312.119160497296</v>
      </c>
      <c r="P3" s="12">
        <v>10.093167701863354</v>
      </c>
      <c r="Q3" s="17"/>
      <c r="R3" s="22">
        <f>IF(N3/$N$3&gt;=1,N3/$N$3,-$N$3/N3)</f>
        <v>1</v>
      </c>
      <c r="S3" s="39">
        <f>IF(N3/$N$3&gt;=1,N3/$N$3,-$N$3/N3)</f>
        <v>1</v>
      </c>
      <c r="U3" s="1"/>
      <c r="W3" s="1"/>
      <c r="X3" s="1"/>
      <c r="Y3" s="1"/>
      <c r="Z3" s="1"/>
      <c r="AA3" s="1"/>
      <c r="AB3" s="1"/>
    </row>
    <row r="4" spans="1:28" ht="17" x14ac:dyDescent="0.2">
      <c r="A4" s="128"/>
      <c r="B4" s="44"/>
      <c r="C4" s="10" t="s">
        <v>60</v>
      </c>
      <c r="D4" s="35">
        <v>858</v>
      </c>
      <c r="E4" s="35">
        <v>679</v>
      </c>
      <c r="F4" s="13">
        <v>1</v>
      </c>
      <c r="G4" s="21">
        <f t="shared" si="0"/>
        <v>768.5</v>
      </c>
      <c r="H4" s="8">
        <f t="shared" ref="H4:H26" si="1">(G4/(0.05*F4))*1</f>
        <v>15370</v>
      </c>
      <c r="I4" s="130"/>
      <c r="K4" s="30">
        <v>2</v>
      </c>
      <c r="L4" s="126"/>
      <c r="M4" s="6" t="s">
        <v>168</v>
      </c>
      <c r="N4" s="8">
        <f>AVERAGE(H6:H8)</f>
        <v>8330</v>
      </c>
      <c r="O4" s="8">
        <f>STDEV(H6:H8)</f>
        <v>727.53006810715385</v>
      </c>
      <c r="P4" s="12">
        <v>9.0062111801242235</v>
      </c>
      <c r="Q4" s="17">
        <f>TTEST(H3:H5,H6:H8,2,2)</f>
        <v>1.2810714130731888E-2</v>
      </c>
      <c r="R4" s="22">
        <f t="shared" ref="R4:R9" si="2">IF(N4/$N$3&gt;=1,N4/$N$3,-$N$3/N4)</f>
        <v>-2.0068027210884356</v>
      </c>
      <c r="S4" s="39">
        <f>IF(N4/$N$3&gt;=1,N4/$N$3,-$N$3/N4)</f>
        <v>-2.0068027210884356</v>
      </c>
    </row>
    <row r="5" spans="1:28" ht="17" x14ac:dyDescent="0.2">
      <c r="A5" s="129"/>
      <c r="B5" s="45"/>
      <c r="C5" s="10" t="s">
        <v>76</v>
      </c>
      <c r="D5" s="35">
        <v>1122</v>
      </c>
      <c r="E5" s="35">
        <v>927</v>
      </c>
      <c r="F5" s="13">
        <v>1</v>
      </c>
      <c r="G5" s="21">
        <f t="shared" si="0"/>
        <v>1024.5</v>
      </c>
      <c r="H5" s="8">
        <f t="shared" si="1"/>
        <v>20490</v>
      </c>
      <c r="I5" s="130"/>
      <c r="K5" s="30">
        <v>3</v>
      </c>
      <c r="L5" s="125" t="s">
        <v>167</v>
      </c>
      <c r="M5" s="6" t="s">
        <v>164</v>
      </c>
      <c r="N5" s="8">
        <f>AVERAGE(H9:H11)</f>
        <v>7510</v>
      </c>
      <c r="O5" s="8">
        <f>STDEV(H9:H11)</f>
        <v>531.13086899558004</v>
      </c>
      <c r="P5" s="12">
        <v>8.695652173913043</v>
      </c>
      <c r="Q5" s="17">
        <f>TTEST(H3:H5,H9:H11,2,2)</f>
        <v>8.9456654852364138E-3</v>
      </c>
      <c r="R5" s="22">
        <f t="shared" si="2"/>
        <v>-2.2259209942299156</v>
      </c>
      <c r="S5" s="39">
        <f>IF(N5/$N$5&gt;=1,N5/$N$5,-$N$5/N5)</f>
        <v>1</v>
      </c>
    </row>
    <row r="6" spans="1:28" ht="15" customHeight="1" x14ac:dyDescent="0.2">
      <c r="A6" s="127" t="s">
        <v>3</v>
      </c>
      <c r="B6" s="75" t="s">
        <v>168</v>
      </c>
      <c r="C6" s="10" t="s">
        <v>61</v>
      </c>
      <c r="D6" s="35">
        <v>347</v>
      </c>
      <c r="E6" s="35">
        <v>410</v>
      </c>
      <c r="F6" s="13">
        <v>1</v>
      </c>
      <c r="G6" s="2">
        <f t="shared" si="0"/>
        <v>378.5</v>
      </c>
      <c r="H6" s="8">
        <f t="shared" si="1"/>
        <v>7570</v>
      </c>
      <c r="I6" s="130">
        <f>TTEST(H6:H8,H3:H5,2,2)</f>
        <v>1.2810714130731888E-2</v>
      </c>
      <c r="K6" s="30">
        <v>4</v>
      </c>
      <c r="L6" s="126"/>
      <c r="M6" s="6" t="s">
        <v>168</v>
      </c>
      <c r="N6" s="8">
        <f>AVERAGE(H12:H14)</f>
        <v>7673.333333333333</v>
      </c>
      <c r="O6" s="8">
        <f>STDEV(H12:H14)</f>
        <v>802.14296315141553</v>
      </c>
      <c r="P6" s="12">
        <v>7.2981366459627326</v>
      </c>
      <c r="Q6" s="17">
        <f>TTEST(H3:H5,H12:H14,2,2)</f>
        <v>1.005906821416792E-2</v>
      </c>
      <c r="R6" s="22">
        <f t="shared" si="2"/>
        <v>-2.1785403996524764</v>
      </c>
      <c r="S6" s="39">
        <f>IF(N6/$N$5&gt;=1,N6/$N$5,-$N$5/N6)</f>
        <v>1.0217487794052373</v>
      </c>
    </row>
    <row r="7" spans="1:28" ht="15" customHeight="1" x14ac:dyDescent="0.2">
      <c r="A7" s="128"/>
      <c r="B7" s="42"/>
      <c r="C7" s="10" t="s">
        <v>62</v>
      </c>
      <c r="D7" s="35">
        <v>433</v>
      </c>
      <c r="E7" s="35">
        <v>407</v>
      </c>
      <c r="F7" s="13">
        <v>1</v>
      </c>
      <c r="G7" s="2">
        <f t="shared" si="0"/>
        <v>420</v>
      </c>
      <c r="H7" s="8">
        <f t="shared" si="1"/>
        <v>8400</v>
      </c>
      <c r="I7" s="130"/>
      <c r="K7" s="30">
        <v>5</v>
      </c>
      <c r="L7" s="125" t="s">
        <v>119</v>
      </c>
      <c r="M7" s="6" t="s">
        <v>164</v>
      </c>
      <c r="N7" s="8">
        <f>AVERAGE(H15:H17)</f>
        <v>13396.666666666666</v>
      </c>
      <c r="O7" s="8">
        <f>STDEV(H15:H17)</f>
        <v>2235.8294508600861</v>
      </c>
      <c r="P7" s="12">
        <v>10.093167701863354</v>
      </c>
      <c r="Q7" s="17">
        <f>TTEST(H3:H5,H15:H17,2,2)</f>
        <v>0.22355300906720033</v>
      </c>
      <c r="R7" s="22">
        <f t="shared" si="2"/>
        <v>-1.2478228415028616</v>
      </c>
      <c r="S7" s="39">
        <f>IF(N7/$N$7&gt;=1,N7/$N$7,-$N$7/N7)</f>
        <v>1</v>
      </c>
    </row>
    <row r="8" spans="1:28" ht="17" x14ac:dyDescent="0.2">
      <c r="A8" s="129"/>
      <c r="B8" s="40"/>
      <c r="C8" s="10" t="s">
        <v>77</v>
      </c>
      <c r="D8" s="35">
        <v>430</v>
      </c>
      <c r="E8" s="35">
        <v>472</v>
      </c>
      <c r="F8" s="13">
        <v>1</v>
      </c>
      <c r="G8" s="2">
        <f t="shared" si="0"/>
        <v>451</v>
      </c>
      <c r="H8" s="8">
        <f t="shared" si="1"/>
        <v>9020</v>
      </c>
      <c r="I8" s="130"/>
      <c r="K8" s="30">
        <v>6</v>
      </c>
      <c r="L8" s="126"/>
      <c r="M8" s="6" t="s">
        <v>168</v>
      </c>
      <c r="N8" s="8">
        <f>AVERAGE(H18:H20)</f>
        <v>7290</v>
      </c>
      <c r="O8" s="8">
        <f>STDEV(H18:H20)</f>
        <v>1818.4883832458211</v>
      </c>
      <c r="P8" s="12">
        <v>9.0062111801242235</v>
      </c>
      <c r="Q8" s="17">
        <f>TTEST(H3:H5,H18:H20,2,2)</f>
        <v>1.2436082164421155E-2</v>
      </c>
      <c r="R8" s="22">
        <f t="shared" si="2"/>
        <v>-2.2930955647005034</v>
      </c>
      <c r="S8" s="39">
        <f>IF(N8/$N$7&gt;=1,N8/$N$7,-$N$7/N8)</f>
        <v>-1.8376771833561956</v>
      </c>
    </row>
    <row r="9" spans="1:28" ht="15" customHeight="1" x14ac:dyDescent="0.2">
      <c r="A9" s="119" t="s">
        <v>120</v>
      </c>
      <c r="B9" s="94" t="s">
        <v>164</v>
      </c>
      <c r="C9" s="10" t="s">
        <v>63</v>
      </c>
      <c r="D9" s="35">
        <v>328</v>
      </c>
      <c r="E9" s="35">
        <v>427</v>
      </c>
      <c r="F9" s="13">
        <v>1</v>
      </c>
      <c r="G9" s="2">
        <f t="shared" si="0"/>
        <v>377.5</v>
      </c>
      <c r="H9" s="8">
        <f t="shared" si="1"/>
        <v>7550</v>
      </c>
      <c r="I9" s="130">
        <f>TTEST(H9:H11,H3:H5,2,2)</f>
        <v>8.9456654852364138E-3</v>
      </c>
      <c r="K9" s="72">
        <v>7</v>
      </c>
      <c r="L9" s="125" t="s">
        <v>166</v>
      </c>
      <c r="M9" s="6" t="s">
        <v>164</v>
      </c>
      <c r="N9" s="8">
        <f>AVERAGE(H21:H23)</f>
        <v>10046.666666666666</v>
      </c>
      <c r="O9" s="8">
        <f>STDEV(H21:H23)</f>
        <v>643.60961252403104</v>
      </c>
      <c r="P9" s="12">
        <v>8.695652173913043</v>
      </c>
      <c r="Q9" s="17">
        <f>TTEST(H3:H5,H21:H23,2,2)</f>
        <v>2.6682376512045324E-2</v>
      </c>
      <c r="R9" s="22">
        <f t="shared" si="2"/>
        <v>-1.6639017916390182</v>
      </c>
      <c r="S9" s="39">
        <f>IF(N9/$N$9&gt;=1,N9/$N$9,-$N$9/N9)</f>
        <v>1</v>
      </c>
    </row>
    <row r="10" spans="1:28" ht="17" customHeight="1" x14ac:dyDescent="0.2">
      <c r="A10" s="124"/>
      <c r="B10" s="95"/>
      <c r="C10" s="10" t="s">
        <v>64</v>
      </c>
      <c r="D10" s="35">
        <v>343</v>
      </c>
      <c r="E10" s="35">
        <v>353</v>
      </c>
      <c r="F10" s="13">
        <v>1</v>
      </c>
      <c r="G10" s="2">
        <f t="shared" si="0"/>
        <v>348</v>
      </c>
      <c r="H10" s="8">
        <f t="shared" si="1"/>
        <v>6960</v>
      </c>
      <c r="I10" s="130"/>
      <c r="K10" s="72">
        <v>8</v>
      </c>
      <c r="L10" s="126"/>
      <c r="M10" s="6" t="s">
        <v>168</v>
      </c>
      <c r="N10" s="8">
        <f>AVERAGE(H24:H26)</f>
        <v>6453.333333333333</v>
      </c>
      <c r="O10" s="8">
        <f>STDEV(H24:H26)</f>
        <v>1075.9801732993669</v>
      </c>
      <c r="P10" s="12">
        <v>7.2981366459627326</v>
      </c>
      <c r="Q10" s="17">
        <f>TTEST(H3:H5,H24:H26,2,2)</f>
        <v>6.9605464503158356E-3</v>
      </c>
      <c r="R10" s="22">
        <f t="shared" ref="R10" si="3">IF(N10/$N$3&gt;=1,N10/$N$3,-$N$3/N10)</f>
        <v>-2.5903925619834713</v>
      </c>
      <c r="S10" s="39">
        <f>IF(N10/$N$9&gt;=1,N10/$N$9,-$N$9/N10)</f>
        <v>-1.5568181818181819</v>
      </c>
    </row>
    <row r="11" spans="1:28" ht="15" customHeight="1" x14ac:dyDescent="0.2">
      <c r="A11" s="120"/>
      <c r="B11" s="96"/>
      <c r="C11" s="10" t="s">
        <v>78</v>
      </c>
      <c r="D11" s="35">
        <v>413</v>
      </c>
      <c r="E11" s="35">
        <v>389</v>
      </c>
      <c r="F11" s="13">
        <v>1</v>
      </c>
      <c r="G11" s="2">
        <f t="shared" si="0"/>
        <v>401</v>
      </c>
      <c r="H11" s="8">
        <f t="shared" si="1"/>
        <v>8020</v>
      </c>
      <c r="I11" s="130"/>
      <c r="L11" s="41"/>
      <c r="M11" s="41"/>
      <c r="N11" s="38"/>
      <c r="O11" s="38"/>
      <c r="P11" s="46"/>
      <c r="Q11" s="48"/>
      <c r="R11" s="47"/>
      <c r="S11" s="39"/>
    </row>
    <row r="12" spans="1:28" x14ac:dyDescent="0.2">
      <c r="A12" s="119" t="s">
        <v>120</v>
      </c>
      <c r="B12" s="94" t="s">
        <v>168</v>
      </c>
      <c r="C12" s="10" t="s">
        <v>111</v>
      </c>
      <c r="D12" s="35">
        <v>284</v>
      </c>
      <c r="E12" s="35">
        <v>426</v>
      </c>
      <c r="F12" s="13">
        <v>1</v>
      </c>
      <c r="G12" s="2">
        <f t="shared" ref="G12:G23" si="4">AVERAGE(D12,E12)</f>
        <v>355</v>
      </c>
      <c r="H12" s="8">
        <f t="shared" si="1"/>
        <v>7100</v>
      </c>
      <c r="I12" s="130">
        <f>TTEST(H12:H14,H3:H5,2,2)</f>
        <v>1.005906821416792E-2</v>
      </c>
      <c r="L12" s="41"/>
      <c r="M12" s="41"/>
      <c r="N12" s="38"/>
      <c r="O12" s="38"/>
      <c r="P12" s="46"/>
      <c r="Q12" s="48"/>
      <c r="R12" s="47"/>
      <c r="S12" s="39"/>
    </row>
    <row r="13" spans="1:28" ht="15" customHeight="1" x14ac:dyDescent="0.2">
      <c r="A13" s="124"/>
      <c r="B13" s="44"/>
      <c r="C13" s="10" t="s">
        <v>112</v>
      </c>
      <c r="D13" s="35">
        <v>394</v>
      </c>
      <c r="E13" s="35">
        <v>465</v>
      </c>
      <c r="F13" s="13">
        <v>1</v>
      </c>
      <c r="G13" s="2">
        <f t="shared" si="4"/>
        <v>429.5</v>
      </c>
      <c r="H13" s="8">
        <f t="shared" si="1"/>
        <v>8590</v>
      </c>
      <c r="I13" s="130"/>
      <c r="S13" s="39"/>
    </row>
    <row r="14" spans="1:28" x14ac:dyDescent="0.2">
      <c r="A14" s="120"/>
      <c r="B14" s="45"/>
      <c r="C14" s="10" t="s">
        <v>116</v>
      </c>
      <c r="D14" s="35">
        <v>341</v>
      </c>
      <c r="E14" s="35">
        <v>392</v>
      </c>
      <c r="F14" s="13">
        <v>1</v>
      </c>
      <c r="G14" s="2">
        <f t="shared" si="4"/>
        <v>366.5</v>
      </c>
      <c r="H14" s="8">
        <f t="shared" si="1"/>
        <v>7330</v>
      </c>
      <c r="I14" s="130"/>
      <c r="S14" s="39"/>
    </row>
    <row r="15" spans="1:28" ht="16" customHeight="1" x14ac:dyDescent="0.2">
      <c r="A15" s="119" t="s">
        <v>122</v>
      </c>
      <c r="B15" s="94" t="s">
        <v>164</v>
      </c>
      <c r="C15" s="10" t="s">
        <v>58</v>
      </c>
      <c r="D15" s="35">
        <v>527</v>
      </c>
      <c r="E15" s="35">
        <v>566</v>
      </c>
      <c r="F15" s="13">
        <v>1</v>
      </c>
      <c r="G15" s="21">
        <f t="shared" si="4"/>
        <v>546.5</v>
      </c>
      <c r="H15" s="8">
        <f t="shared" si="1"/>
        <v>10930</v>
      </c>
      <c r="I15" s="130">
        <f>TTEST(H3:H5,H15:H17,2,2)</f>
        <v>0.22355300906720033</v>
      </c>
      <c r="J15" s="1"/>
      <c r="K15" s="1"/>
      <c r="L15" s="1"/>
      <c r="M15" s="1"/>
      <c r="S15" s="39"/>
      <c r="U15" s="1"/>
      <c r="W15" s="1"/>
      <c r="X15" s="1"/>
      <c r="Y15" s="1"/>
      <c r="Z15" s="1"/>
      <c r="AA15" s="1"/>
      <c r="AB15" s="1"/>
    </row>
    <row r="16" spans="1:28" x14ac:dyDescent="0.2">
      <c r="A16" s="124"/>
      <c r="B16" s="95"/>
      <c r="C16" s="10" t="s">
        <v>60</v>
      </c>
      <c r="D16" s="35">
        <v>680</v>
      </c>
      <c r="E16" s="35">
        <v>717</v>
      </c>
      <c r="F16" s="13">
        <v>1</v>
      </c>
      <c r="G16" s="21">
        <f t="shared" si="4"/>
        <v>698.5</v>
      </c>
      <c r="H16" s="8">
        <f t="shared" si="1"/>
        <v>13970</v>
      </c>
      <c r="I16" s="130"/>
      <c r="S16" s="39"/>
    </row>
    <row r="17" spans="1:28" x14ac:dyDescent="0.2">
      <c r="A17" s="120"/>
      <c r="B17" s="96"/>
      <c r="C17" s="10" t="s">
        <v>76</v>
      </c>
      <c r="D17" s="35">
        <v>696</v>
      </c>
      <c r="E17" s="35">
        <v>833</v>
      </c>
      <c r="F17" s="13">
        <v>1</v>
      </c>
      <c r="G17" s="21">
        <f t="shared" si="4"/>
        <v>764.5</v>
      </c>
      <c r="H17" s="8">
        <f t="shared" si="1"/>
        <v>15290</v>
      </c>
      <c r="I17" s="130"/>
      <c r="S17" s="39"/>
    </row>
    <row r="18" spans="1:28" ht="15" customHeight="1" x14ac:dyDescent="0.2">
      <c r="A18" s="119" t="s">
        <v>122</v>
      </c>
      <c r="B18" s="94" t="s">
        <v>168</v>
      </c>
      <c r="C18" s="10" t="s">
        <v>61</v>
      </c>
      <c r="D18" s="35">
        <v>277</v>
      </c>
      <c r="E18" s="35" t="s">
        <v>176</v>
      </c>
      <c r="F18" s="13">
        <v>1</v>
      </c>
      <c r="G18" s="2">
        <f t="shared" si="4"/>
        <v>277</v>
      </c>
      <c r="H18" s="8">
        <f t="shared" si="1"/>
        <v>5540</v>
      </c>
      <c r="I18" s="130">
        <f>TTEST(H18:H20,H3:H5,2,2)</f>
        <v>1.2436082164421155E-2</v>
      </c>
      <c r="S18" s="39"/>
    </row>
    <row r="19" spans="1:28" ht="15" customHeight="1" x14ac:dyDescent="0.2">
      <c r="A19" s="124"/>
      <c r="B19" s="74"/>
      <c r="C19" s="10" t="s">
        <v>62</v>
      </c>
      <c r="D19" s="35">
        <v>376</v>
      </c>
      <c r="E19" s="35">
        <v>340</v>
      </c>
      <c r="F19" s="13">
        <v>1</v>
      </c>
      <c r="G19" s="2">
        <f t="shared" si="4"/>
        <v>358</v>
      </c>
      <c r="H19" s="8">
        <f t="shared" si="1"/>
        <v>7160</v>
      </c>
      <c r="I19" s="130"/>
      <c r="S19" s="39"/>
    </row>
    <row r="20" spans="1:28" x14ac:dyDescent="0.2">
      <c r="A20" s="120"/>
      <c r="B20" s="73"/>
      <c r="C20" s="10" t="s">
        <v>77</v>
      </c>
      <c r="D20" s="35">
        <v>461</v>
      </c>
      <c r="E20" s="35">
        <v>456</v>
      </c>
      <c r="F20" s="13">
        <v>1</v>
      </c>
      <c r="G20" s="2">
        <f t="shared" si="4"/>
        <v>458.5</v>
      </c>
      <c r="H20" s="8">
        <f t="shared" si="1"/>
        <v>9170</v>
      </c>
      <c r="I20" s="130"/>
      <c r="S20" s="39"/>
    </row>
    <row r="21" spans="1:28" ht="15" customHeight="1" x14ac:dyDescent="0.2">
      <c r="A21" s="119" t="s">
        <v>134</v>
      </c>
      <c r="B21" s="94" t="s">
        <v>164</v>
      </c>
      <c r="C21" s="10" t="s">
        <v>63</v>
      </c>
      <c r="D21" s="35">
        <v>520</v>
      </c>
      <c r="E21" s="35">
        <v>513</v>
      </c>
      <c r="F21" s="13">
        <v>1</v>
      </c>
      <c r="G21" s="2">
        <f t="shared" si="4"/>
        <v>516.5</v>
      </c>
      <c r="H21" s="8">
        <f t="shared" si="1"/>
        <v>10330</v>
      </c>
      <c r="I21" s="130">
        <f>TTEST(H21:H23,H3:H5,2,2)</f>
        <v>2.6682376512045324E-2</v>
      </c>
      <c r="L21" s="41"/>
      <c r="M21" s="41"/>
      <c r="N21" s="38"/>
      <c r="O21" s="38"/>
      <c r="P21" s="46"/>
      <c r="Q21" s="48"/>
      <c r="R21" s="47"/>
      <c r="S21" s="39"/>
    </row>
    <row r="22" spans="1:28" x14ac:dyDescent="0.2">
      <c r="A22" s="124"/>
      <c r="B22" s="95"/>
      <c r="C22" s="10" t="s">
        <v>64</v>
      </c>
      <c r="D22" s="35">
        <v>499</v>
      </c>
      <c r="E22" s="35">
        <v>551</v>
      </c>
      <c r="F22" s="13">
        <v>1</v>
      </c>
      <c r="G22" s="2">
        <f t="shared" si="4"/>
        <v>525</v>
      </c>
      <c r="H22" s="8">
        <f t="shared" si="1"/>
        <v>10500</v>
      </c>
      <c r="I22" s="130"/>
      <c r="L22" s="49"/>
      <c r="M22" s="49"/>
      <c r="N22" s="38"/>
      <c r="O22" s="38"/>
      <c r="P22" s="46"/>
      <c r="Q22" s="48"/>
      <c r="R22" s="47"/>
      <c r="S22" s="39"/>
    </row>
    <row r="23" spans="1:28" ht="15" customHeight="1" x14ac:dyDescent="0.2">
      <c r="A23" s="120"/>
      <c r="B23" s="96"/>
      <c r="C23" s="10" t="s">
        <v>78</v>
      </c>
      <c r="D23" s="35">
        <v>416</v>
      </c>
      <c r="E23" s="35">
        <v>515</v>
      </c>
      <c r="F23" s="13">
        <v>1</v>
      </c>
      <c r="G23" s="2">
        <f t="shared" si="4"/>
        <v>465.5</v>
      </c>
      <c r="H23" s="8">
        <f t="shared" si="1"/>
        <v>9310</v>
      </c>
      <c r="I23" s="130"/>
      <c r="L23" s="41"/>
      <c r="M23" s="41"/>
      <c r="N23" s="38"/>
      <c r="O23" s="38"/>
      <c r="P23" s="46"/>
      <c r="Q23" s="48"/>
      <c r="R23" s="47"/>
      <c r="S23" s="39"/>
    </row>
    <row r="24" spans="1:28" ht="16" customHeight="1" x14ac:dyDescent="0.2">
      <c r="A24" s="119" t="s">
        <v>134</v>
      </c>
      <c r="B24" s="94" t="s">
        <v>168</v>
      </c>
      <c r="C24" s="10" t="s">
        <v>111</v>
      </c>
      <c r="D24" s="35">
        <v>312</v>
      </c>
      <c r="E24" s="35" t="s">
        <v>178</v>
      </c>
      <c r="F24" s="13">
        <v>1</v>
      </c>
      <c r="G24" s="2">
        <f t="shared" ref="G24:G26" si="5">AVERAGE(D24,E24)</f>
        <v>312</v>
      </c>
      <c r="H24" s="8">
        <f t="shared" si="1"/>
        <v>6240</v>
      </c>
      <c r="I24" s="130">
        <f>TTEST(H24:H26,H3:H5,2,2)</f>
        <v>6.9605464503158356E-3</v>
      </c>
      <c r="L24" s="41"/>
      <c r="M24" s="41"/>
      <c r="N24" s="38"/>
      <c r="O24" s="38"/>
      <c r="P24" s="46"/>
      <c r="Q24" s="48"/>
      <c r="R24" s="47"/>
      <c r="S24" s="39"/>
    </row>
    <row r="25" spans="1:28" ht="15" customHeight="1" x14ac:dyDescent="0.2">
      <c r="A25" s="124"/>
      <c r="B25" s="76"/>
      <c r="C25" s="10" t="s">
        <v>112</v>
      </c>
      <c r="D25" s="35">
        <v>381</v>
      </c>
      <c r="E25" s="35" t="s">
        <v>177</v>
      </c>
      <c r="F25" s="13">
        <v>1</v>
      </c>
      <c r="G25" s="2">
        <f t="shared" si="5"/>
        <v>381</v>
      </c>
      <c r="H25" s="8">
        <f t="shared" si="1"/>
        <v>7620</v>
      </c>
      <c r="I25" s="130"/>
      <c r="S25" s="39"/>
    </row>
    <row r="26" spans="1:28" x14ac:dyDescent="0.2">
      <c r="A26" s="120"/>
      <c r="B26" s="77"/>
      <c r="C26" s="10" t="s">
        <v>116</v>
      </c>
      <c r="D26" s="35">
        <v>262</v>
      </c>
      <c r="E26" s="35">
        <v>288</v>
      </c>
      <c r="F26" s="13">
        <v>1</v>
      </c>
      <c r="G26" s="2">
        <f t="shared" si="5"/>
        <v>275</v>
      </c>
      <c r="H26" s="8">
        <f t="shared" si="1"/>
        <v>5500</v>
      </c>
      <c r="I26" s="130"/>
    </row>
    <row r="27" spans="1:28" ht="16" customHeight="1" x14ac:dyDescent="0.2">
      <c r="A27" s="36"/>
      <c r="J27" s="1"/>
      <c r="K27" s="1"/>
      <c r="L27" s="1"/>
      <c r="M27" s="1"/>
      <c r="S27" s="46"/>
      <c r="U27" s="1"/>
      <c r="W27" s="1"/>
      <c r="X27" s="1"/>
      <c r="Y27" s="1"/>
      <c r="Z27" s="1"/>
      <c r="AA27" s="1"/>
      <c r="AB27" s="1"/>
    </row>
    <row r="28" spans="1:28" x14ac:dyDescent="0.2">
      <c r="S28" s="46"/>
    </row>
    <row r="29" spans="1:28" x14ac:dyDescent="0.2">
      <c r="S29" s="46"/>
    </row>
    <row r="30" spans="1:28" ht="15" customHeight="1" x14ac:dyDescent="0.2">
      <c r="A30" t="s">
        <v>179</v>
      </c>
      <c r="S30" s="46"/>
    </row>
    <row r="31" spans="1:28" ht="15" customHeight="1" x14ac:dyDescent="0.2">
      <c r="A31" s="127" t="s">
        <v>3</v>
      </c>
      <c r="B31" s="94"/>
      <c r="C31" s="10" t="s">
        <v>58</v>
      </c>
      <c r="D31">
        <f>G3/G6</f>
        <v>1.8877146631439894</v>
      </c>
      <c r="L31" t="s">
        <v>187</v>
      </c>
    </row>
    <row r="32" spans="1:28" x14ac:dyDescent="0.2">
      <c r="A32" s="128"/>
      <c r="B32" s="95"/>
      <c r="C32" s="10" t="s">
        <v>60</v>
      </c>
      <c r="D32">
        <f>G4/G7</f>
        <v>1.8297619047619047</v>
      </c>
      <c r="M32" t="s">
        <v>186</v>
      </c>
      <c r="N32" t="s">
        <v>73</v>
      </c>
    </row>
    <row r="33" spans="1:14" ht="15" customHeight="1" x14ac:dyDescent="0.2">
      <c r="A33" s="129"/>
      <c r="B33" s="96"/>
      <c r="C33" s="10" t="s">
        <v>76</v>
      </c>
      <c r="D33">
        <f>G5/G8</f>
        <v>2.2716186252771617</v>
      </c>
      <c r="L33" s="106" t="s">
        <v>3</v>
      </c>
      <c r="M33" s="108">
        <f>AVERAGE(D31:D33)</f>
        <v>1.996365064394352</v>
      </c>
      <c r="N33" s="108">
        <f>STDEV(D31:D33)</f>
        <v>0.24013126126146733</v>
      </c>
    </row>
    <row r="34" spans="1:14" ht="17" x14ac:dyDescent="0.2">
      <c r="A34" s="119" t="s">
        <v>120</v>
      </c>
      <c r="B34" s="94"/>
      <c r="C34" s="10" t="s">
        <v>61</v>
      </c>
      <c r="D34">
        <f>G9/G12</f>
        <v>1.0633802816901408</v>
      </c>
      <c r="L34" s="106" t="s">
        <v>183</v>
      </c>
      <c r="M34" s="108">
        <f>AVERAGE(D34:D36)</f>
        <v>0.98925281637984031</v>
      </c>
      <c r="N34" s="108">
        <f>STDEV(D34:D36)</f>
        <v>0.15578650169773148</v>
      </c>
    </row>
    <row r="35" spans="1:14" ht="15" customHeight="1" x14ac:dyDescent="0.2">
      <c r="A35" s="124"/>
      <c r="B35" s="97"/>
      <c r="C35" s="10" t="s">
        <v>62</v>
      </c>
      <c r="D35">
        <f t="shared" ref="D35:D36" si="6">G10/G13</f>
        <v>0.81024447031431901</v>
      </c>
      <c r="L35" s="106" t="s">
        <v>184</v>
      </c>
      <c r="M35" s="108">
        <f>AVERAGE(D37:D39)</f>
        <v>1.8638117270628829</v>
      </c>
      <c r="N35" s="108">
        <f>STDEV(D37:D39)</f>
        <v>0.17045211427599577</v>
      </c>
    </row>
    <row r="36" spans="1:14" ht="17" x14ac:dyDescent="0.2">
      <c r="A36" s="120"/>
      <c r="B36" s="93"/>
      <c r="C36" s="10" t="s">
        <v>77</v>
      </c>
      <c r="D36">
        <f t="shared" si="6"/>
        <v>1.0941336971350615</v>
      </c>
      <c r="L36" s="106" t="s">
        <v>185</v>
      </c>
      <c r="M36" s="108">
        <f>AVERAGE(D40:D42)</f>
        <v>1.5753762488605008</v>
      </c>
      <c r="N36" s="108">
        <f>STDEV(D40:D42)</f>
        <v>0.17198677082701988</v>
      </c>
    </row>
    <row r="37" spans="1:14" ht="15" customHeight="1" x14ac:dyDescent="0.2">
      <c r="A37" s="119" t="s">
        <v>122</v>
      </c>
      <c r="B37" s="94"/>
      <c r="C37" s="10" t="s">
        <v>63</v>
      </c>
      <c r="D37">
        <f>G15/G18</f>
        <v>1.9729241877256318</v>
      </c>
    </row>
    <row r="38" spans="1:14" ht="17" x14ac:dyDescent="0.2">
      <c r="A38" s="124"/>
      <c r="B38" s="95"/>
      <c r="C38" s="10" t="s">
        <v>64</v>
      </c>
      <c r="D38">
        <f t="shared" ref="D38:D39" si="7">G16/G19</f>
        <v>1.9511173184357542</v>
      </c>
      <c r="L38" s="107" t="s">
        <v>188</v>
      </c>
    </row>
    <row r="39" spans="1:14" ht="17" x14ac:dyDescent="0.2">
      <c r="A39" s="120"/>
      <c r="B39" s="96"/>
      <c r="C39" s="10" t="s">
        <v>78</v>
      </c>
      <c r="D39">
        <f t="shared" si="7"/>
        <v>1.6673936750272629</v>
      </c>
      <c r="L39" s="106" t="s">
        <v>3</v>
      </c>
      <c r="M39" s="108">
        <f>N3/N4</f>
        <v>2.0068027210884356</v>
      </c>
      <c r="N39" s="108">
        <f>M39*(SQRT((O3/N3)^2+(O4/N4)^2))</f>
        <v>0.43453006201250038</v>
      </c>
    </row>
    <row r="40" spans="1:14" ht="16" customHeight="1" x14ac:dyDescent="0.2">
      <c r="A40" s="119" t="s">
        <v>134</v>
      </c>
      <c r="B40" s="94"/>
      <c r="C40" s="10" t="s">
        <v>111</v>
      </c>
      <c r="D40">
        <f>G21/G24</f>
        <v>1.6554487179487178</v>
      </c>
      <c r="L40" s="106" t="s">
        <v>183</v>
      </c>
      <c r="M40" s="108">
        <f>N5/N6</f>
        <v>0.97871416159860991</v>
      </c>
      <c r="N40" s="108">
        <f>M40*(SQRT((O5/N5)^2+(O6/N6)^2))</f>
        <v>0.12352610334635028</v>
      </c>
    </row>
    <row r="41" spans="1:14" ht="17" x14ac:dyDescent="0.2">
      <c r="A41" s="124"/>
      <c r="B41" s="95"/>
      <c r="C41" s="10" t="s">
        <v>112</v>
      </c>
      <c r="D41">
        <f t="shared" ref="D41:D42" si="8">G22/G25</f>
        <v>1.3779527559055118</v>
      </c>
      <c r="L41" s="106" t="s">
        <v>184</v>
      </c>
      <c r="M41" s="108">
        <f>N7/N8</f>
        <v>1.8376771833561956</v>
      </c>
      <c r="N41" s="108">
        <f>M41*(SQRT((O7/N7)^2+(O8/N8)^2))</f>
        <v>0.55154481312890269</v>
      </c>
    </row>
    <row r="42" spans="1:14" ht="17" x14ac:dyDescent="0.2">
      <c r="A42" s="120"/>
      <c r="B42" s="96"/>
      <c r="C42" s="10" t="s">
        <v>116</v>
      </c>
      <c r="D42">
        <f t="shared" si="8"/>
        <v>1.6927272727272726</v>
      </c>
      <c r="L42" s="106" t="s">
        <v>185</v>
      </c>
      <c r="M42" s="108">
        <f>N9/N10</f>
        <v>1.5568181818181819</v>
      </c>
      <c r="N42" s="108">
        <f>M42*(SQRT((O9/N9)^2+(O10/N10)^2))</f>
        <v>0.27807254876651927</v>
      </c>
    </row>
  </sheetData>
  <mergeCells count="24">
    <mergeCell ref="A9:A11"/>
    <mergeCell ref="I9:I11"/>
    <mergeCell ref="A21:A23"/>
    <mergeCell ref="I21:I23"/>
    <mergeCell ref="A24:A26"/>
    <mergeCell ref="I24:I26"/>
    <mergeCell ref="A18:A20"/>
    <mergeCell ref="I18:I20"/>
    <mergeCell ref="A34:A36"/>
    <mergeCell ref="A37:A39"/>
    <mergeCell ref="A40:A42"/>
    <mergeCell ref="L3:L4"/>
    <mergeCell ref="L5:L6"/>
    <mergeCell ref="L7:L8"/>
    <mergeCell ref="L9:L10"/>
    <mergeCell ref="A31:A33"/>
    <mergeCell ref="A12:A14"/>
    <mergeCell ref="I12:I14"/>
    <mergeCell ref="A15:A17"/>
    <mergeCell ref="I15:I17"/>
    <mergeCell ref="A3:A5"/>
    <mergeCell ref="I3:I5"/>
    <mergeCell ref="A6:A8"/>
    <mergeCell ref="I6:I8"/>
  </mergeCells>
  <pageMargins left="0.75" right="0.75" top="1" bottom="1" header="0.5" footer="0.5"/>
  <pageSetup scale="5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100-489B-4A0B-A53D-12957D12D2FB}">
  <sheetPr>
    <pageSetUpPr fitToPage="1"/>
  </sheetPr>
  <dimension ref="A1:AT47"/>
  <sheetViews>
    <sheetView showRuler="0" topLeftCell="AI1" zoomScale="90" zoomScaleNormal="90" workbookViewId="0">
      <selection activeCell="AY42" sqref="AY42"/>
    </sheetView>
  </sheetViews>
  <sheetFormatPr baseColWidth="10" defaultColWidth="10.6640625" defaultRowHeight="16" x14ac:dyDescent="0.2"/>
  <cols>
    <col min="1" max="1" width="20.33203125" bestFit="1" customWidth="1"/>
    <col min="2" max="2" width="20.33203125" customWidth="1"/>
    <col min="3" max="3" width="5.5" bestFit="1" customWidth="1"/>
    <col min="4" max="6" width="6.1640625" bestFit="1" customWidth="1"/>
    <col min="7" max="7" width="6.33203125" bestFit="1" customWidth="1"/>
    <col min="8" max="10" width="6.1640625" bestFit="1" customWidth="1"/>
    <col min="11" max="11" width="6" customWidth="1"/>
    <col min="12" max="12" width="8.33203125" bestFit="1" customWidth="1"/>
    <col min="13" max="13" width="8" bestFit="1" customWidth="1"/>
    <col min="14" max="14" width="9" bestFit="1" customWidth="1"/>
    <col min="15" max="15" width="2.1640625" customWidth="1"/>
    <col min="16" max="16" width="17" bestFit="1" customWidth="1"/>
    <col min="17" max="19" width="9" bestFit="1" customWidth="1"/>
    <col min="20" max="20" width="7.83203125" bestFit="1" customWidth="1"/>
    <col min="21" max="23" width="9.33203125" customWidth="1"/>
    <col min="24" max="24" width="12.33203125" customWidth="1"/>
    <col min="25" max="25" width="15.83203125" customWidth="1"/>
    <col min="26" max="26" width="13.1640625" bestFit="1" customWidth="1"/>
    <col min="38" max="38" width="13.1640625" bestFit="1" customWidth="1"/>
  </cols>
  <sheetData>
    <row r="1" spans="1:46" x14ac:dyDescent="0.2">
      <c r="A1" s="4" t="s">
        <v>0</v>
      </c>
      <c r="B1" s="4"/>
      <c r="C1" s="4"/>
      <c r="D1" s="123" t="s">
        <v>80</v>
      </c>
      <c r="E1" s="123"/>
      <c r="F1" s="123"/>
      <c r="G1" s="33"/>
      <c r="H1" s="123" t="s">
        <v>81</v>
      </c>
      <c r="I1" s="123"/>
      <c r="J1" s="123"/>
      <c r="K1" s="25"/>
      <c r="P1" s="122" t="s">
        <v>91</v>
      </c>
      <c r="Q1" s="122"/>
      <c r="R1" s="122"/>
      <c r="S1" s="122"/>
      <c r="T1" s="122"/>
      <c r="U1" s="122"/>
      <c r="V1" s="122"/>
      <c r="W1" s="122"/>
      <c r="X1" s="122"/>
      <c r="Y1" s="79"/>
      <c r="AA1" s="122" t="s">
        <v>92</v>
      </c>
      <c r="AB1" s="122"/>
      <c r="AC1" s="122"/>
      <c r="AD1" s="122"/>
      <c r="AE1" s="122"/>
      <c r="AF1" s="122"/>
      <c r="AG1" s="122"/>
    </row>
    <row r="2" spans="1:46" ht="68" x14ac:dyDescent="0.2">
      <c r="A2" s="24"/>
      <c r="B2" s="24"/>
      <c r="C2" s="24" t="s">
        <v>66</v>
      </c>
      <c r="D2" s="24">
        <v>1</v>
      </c>
      <c r="E2" s="24">
        <v>2</v>
      </c>
      <c r="F2" s="27">
        <v>3</v>
      </c>
      <c r="G2" s="27">
        <v>4</v>
      </c>
      <c r="H2" s="24">
        <v>1</v>
      </c>
      <c r="I2" s="24">
        <v>2</v>
      </c>
      <c r="J2" s="27">
        <v>3</v>
      </c>
      <c r="K2" s="27">
        <v>4</v>
      </c>
      <c r="L2" s="34" t="s">
        <v>53</v>
      </c>
      <c r="M2" s="28" t="s">
        <v>69</v>
      </c>
      <c r="N2" s="28" t="s">
        <v>70</v>
      </c>
      <c r="O2" s="37"/>
      <c r="P2" s="2"/>
      <c r="Q2" s="2" t="s">
        <v>66</v>
      </c>
      <c r="R2" s="28" t="s">
        <v>72</v>
      </c>
      <c r="S2" s="24" t="s">
        <v>73</v>
      </c>
      <c r="T2" s="34" t="s">
        <v>74</v>
      </c>
      <c r="U2" s="29" t="s">
        <v>169</v>
      </c>
      <c r="V2" s="29" t="s">
        <v>172</v>
      </c>
      <c r="W2" s="29" t="s">
        <v>173</v>
      </c>
      <c r="X2" s="29" t="s">
        <v>171</v>
      </c>
      <c r="Z2" s="2"/>
      <c r="AA2" s="2" t="s">
        <v>66</v>
      </c>
      <c r="AB2" s="28" t="s">
        <v>72</v>
      </c>
      <c r="AC2" s="24" t="s">
        <v>73</v>
      </c>
      <c r="AD2" s="34" t="s">
        <v>74</v>
      </c>
      <c r="AE2" s="29" t="s">
        <v>71</v>
      </c>
      <c r="AF2" s="29" t="s">
        <v>170</v>
      </c>
      <c r="AG2" t="s">
        <v>175</v>
      </c>
      <c r="AL2" s="2"/>
      <c r="AM2" s="2" t="s">
        <v>66</v>
      </c>
      <c r="AN2" s="28" t="s">
        <v>93</v>
      </c>
      <c r="AO2" s="24" t="s">
        <v>73</v>
      </c>
    </row>
    <row r="3" spans="1:46" ht="17" x14ac:dyDescent="0.2">
      <c r="A3" s="127" t="s">
        <v>3</v>
      </c>
      <c r="B3" s="127" t="s">
        <v>164</v>
      </c>
      <c r="C3" s="10" t="s">
        <v>58</v>
      </c>
      <c r="D3" s="13" t="s">
        <v>59</v>
      </c>
      <c r="E3" s="13" t="s">
        <v>59</v>
      </c>
      <c r="F3" s="13" t="s">
        <v>59</v>
      </c>
      <c r="G3" s="35">
        <v>81</v>
      </c>
      <c r="H3" s="13" t="s">
        <v>59</v>
      </c>
      <c r="I3" s="13" t="s">
        <v>59</v>
      </c>
      <c r="J3" s="13" t="s">
        <v>59</v>
      </c>
      <c r="K3" s="35">
        <v>77</v>
      </c>
      <c r="L3" s="13">
        <v>1E-3</v>
      </c>
      <c r="M3" s="21">
        <f>AVERAGE(G3,K3)</f>
        <v>79</v>
      </c>
      <c r="N3" s="8">
        <f>(M3/(0.01*L3))*1</f>
        <v>7899999.9999999991</v>
      </c>
      <c r="O3" s="1"/>
      <c r="P3" s="125" t="s">
        <v>3</v>
      </c>
      <c r="Q3" s="6" t="s">
        <v>164</v>
      </c>
      <c r="R3" s="8">
        <f>AVERAGE(N3:N5)</f>
        <v>10783333.33333333</v>
      </c>
      <c r="S3" s="8">
        <f>STDEV(N3:N5)</f>
        <v>2500166.6611114834</v>
      </c>
      <c r="T3" s="12">
        <v>10</v>
      </c>
      <c r="U3" s="2"/>
      <c r="V3" s="2"/>
      <c r="W3" s="22">
        <f t="shared" ref="W3:W10" si="0">IF(R3/$R$3&gt;=1,R3/$R$3,-$R$3/R3)</f>
        <v>1</v>
      </c>
      <c r="X3" s="22"/>
      <c r="Z3" s="125" t="s">
        <v>3</v>
      </c>
      <c r="AA3" s="6" t="s">
        <v>164</v>
      </c>
      <c r="AB3" s="8">
        <v>16716.666666666668</v>
      </c>
      <c r="AC3" s="8">
        <v>3312.119160497296</v>
      </c>
      <c r="AD3" s="12">
        <v>10.093167701863354</v>
      </c>
      <c r="AE3" s="62"/>
      <c r="AF3" s="22">
        <v>1</v>
      </c>
      <c r="AG3" s="105">
        <v>1</v>
      </c>
      <c r="AL3" s="125" t="s">
        <v>3</v>
      </c>
      <c r="AM3" s="6" t="s">
        <v>164</v>
      </c>
      <c r="AN3" s="8">
        <f>R3/AB3</f>
        <v>645.06480558325006</v>
      </c>
      <c r="AO3" s="8">
        <f>AN3*(SQRT((S3/R3)^2)+(AC3/AB3)^2)</f>
        <v>174.88435848873061</v>
      </c>
      <c r="AP3" s="1">
        <f>(SQRT((S3/R3)^2)+(AC3/AB3)^2)</f>
        <v>0.27111130071746037</v>
      </c>
      <c r="AS3" s="131" t="s">
        <v>3</v>
      </c>
      <c r="AT3" s="132"/>
    </row>
    <row r="4" spans="1:46" ht="17" x14ac:dyDescent="0.2">
      <c r="A4" s="128"/>
      <c r="B4" s="128"/>
      <c r="C4" s="10" t="s">
        <v>60</v>
      </c>
      <c r="D4" s="13" t="s">
        <v>59</v>
      </c>
      <c r="E4" s="13" t="s">
        <v>59</v>
      </c>
      <c r="F4" s="13" t="s">
        <v>59</v>
      </c>
      <c r="G4" s="35">
        <v>118</v>
      </c>
      <c r="H4" s="13" t="s">
        <v>59</v>
      </c>
      <c r="I4" s="13" t="s">
        <v>59</v>
      </c>
      <c r="J4" s="13" t="s">
        <v>59</v>
      </c>
      <c r="K4" s="35">
        <v>129</v>
      </c>
      <c r="L4" s="13">
        <v>1E-3</v>
      </c>
      <c r="M4" s="21">
        <f t="shared" ref="M4:M26" si="1">AVERAGE(G4,K4)</f>
        <v>123.5</v>
      </c>
      <c r="N4" s="8">
        <f t="shared" ref="N4:N26" si="2">(M4/(0.01*L4))*1</f>
        <v>12349999.999999998</v>
      </c>
      <c r="O4" s="1"/>
      <c r="P4" s="126"/>
      <c r="Q4" s="6" t="s">
        <v>168</v>
      </c>
      <c r="R4" s="8">
        <f>AVERAGE(N6:N8)</f>
        <v>4250000</v>
      </c>
      <c r="S4" s="8">
        <f>STDEV(N6:N8)</f>
        <v>1126942.7669584644</v>
      </c>
      <c r="T4" s="12">
        <v>3.4745762711864403</v>
      </c>
      <c r="U4" s="104">
        <f>TTEST(N3:N5,N6:N8,2,2)</f>
        <v>1.4537439133350741E-2</v>
      </c>
      <c r="V4" s="104">
        <f>TTEST(N$3:N$5,N6:N8,2,2)</f>
        <v>1.4537439133350741E-2</v>
      </c>
      <c r="W4" s="22">
        <f t="shared" si="0"/>
        <v>-2.5372549019607837</v>
      </c>
      <c r="X4" s="22">
        <f>IF(R4/$R$3&gt;=1,R4/$R$3,-$R$3/R4)</f>
        <v>-2.5372549019607837</v>
      </c>
      <c r="Z4" s="126"/>
      <c r="AA4" s="6" t="s">
        <v>168</v>
      </c>
      <c r="AB4" s="8">
        <v>8330</v>
      </c>
      <c r="AC4" s="8">
        <v>727.53006810715385</v>
      </c>
      <c r="AD4" s="12">
        <v>9.0062111801242235</v>
      </c>
      <c r="AE4" s="17">
        <v>1.2810714130731888E-2</v>
      </c>
      <c r="AF4" s="22">
        <v>-2.0068027210884356</v>
      </c>
      <c r="AG4" s="105">
        <v>-2.0068027210884356</v>
      </c>
      <c r="AL4" s="126"/>
      <c r="AM4" s="6" t="s">
        <v>168</v>
      </c>
      <c r="AN4" s="8">
        <f t="shared" ref="AN4:AN9" si="3">R4/AB4</f>
        <v>510.20408163265307</v>
      </c>
      <c r="AO4" s="8">
        <f>AN4*(SQRT((S4/R4)^2)+(AC4/AB4)^2)</f>
        <v>139.17909448301054</v>
      </c>
      <c r="AS4" s="131" t="s">
        <v>180</v>
      </c>
      <c r="AT4" s="132"/>
    </row>
    <row r="5" spans="1:46" ht="17" x14ac:dyDescent="0.2">
      <c r="A5" s="129"/>
      <c r="B5" s="129"/>
      <c r="C5" s="10" t="s">
        <v>76</v>
      </c>
      <c r="D5" s="13" t="s">
        <v>59</v>
      </c>
      <c r="E5" s="13" t="s">
        <v>59</v>
      </c>
      <c r="F5" s="13" t="s">
        <v>59</v>
      </c>
      <c r="G5" s="35">
        <v>116</v>
      </c>
      <c r="H5" s="13" t="s">
        <v>59</v>
      </c>
      <c r="I5" s="13" t="s">
        <v>59</v>
      </c>
      <c r="J5" s="13" t="s">
        <v>59</v>
      </c>
      <c r="K5" s="35">
        <v>126</v>
      </c>
      <c r="L5" s="13">
        <v>1E-3</v>
      </c>
      <c r="M5" s="21">
        <f t="shared" si="1"/>
        <v>121</v>
      </c>
      <c r="N5" s="8">
        <f t="shared" si="2"/>
        <v>12099999.999999998</v>
      </c>
      <c r="O5" s="1"/>
      <c r="P5" s="125" t="s">
        <v>167</v>
      </c>
      <c r="Q5" s="6" t="s">
        <v>164</v>
      </c>
      <c r="R5" s="8">
        <f>AVERAGE(N9:N11)</f>
        <v>5200000</v>
      </c>
      <c r="S5" s="8">
        <f>STDEV(N9:N11)</f>
        <v>852936.10546159442</v>
      </c>
      <c r="T5" s="12">
        <v>4.9152542372881349</v>
      </c>
      <c r="U5" s="104"/>
      <c r="V5" s="104">
        <f>TTEST(N$3:N$5,N9:N11,2,2)</f>
        <v>2.1564728636929154E-2</v>
      </c>
      <c r="W5" s="22">
        <f t="shared" si="0"/>
        <v>-2.073717948717948</v>
      </c>
      <c r="X5" s="22"/>
      <c r="Z5" s="125" t="s">
        <v>167</v>
      </c>
      <c r="AA5" s="6" t="s">
        <v>164</v>
      </c>
      <c r="AB5" s="8">
        <v>7510</v>
      </c>
      <c r="AC5" s="8">
        <v>531.13086899558004</v>
      </c>
      <c r="AD5" s="12">
        <v>8.695652173913043</v>
      </c>
      <c r="AE5" s="17">
        <v>8.9456654852364138E-3</v>
      </c>
      <c r="AF5" s="22">
        <v>-2.2259209942299156</v>
      </c>
      <c r="AG5" s="105">
        <v>1</v>
      </c>
      <c r="AL5" s="125" t="s">
        <v>167</v>
      </c>
      <c r="AM5" s="6" t="s">
        <v>164</v>
      </c>
      <c r="AN5" s="8">
        <f t="shared" si="3"/>
        <v>692.41011984021304</v>
      </c>
      <c r="AO5" s="8">
        <f t="shared" ref="AO5:AO10" si="4">AN5*(SQRT((S5/R5)^2)+(AC5/AB5)^2)</f>
        <v>117.03665502053185</v>
      </c>
      <c r="AS5" s="131" t="s">
        <v>181</v>
      </c>
      <c r="AT5" s="132"/>
    </row>
    <row r="6" spans="1:46" ht="17" x14ac:dyDescent="0.2">
      <c r="A6" s="127" t="s">
        <v>3</v>
      </c>
      <c r="B6" s="127" t="s">
        <v>165</v>
      </c>
      <c r="C6" s="10" t="s">
        <v>61</v>
      </c>
      <c r="D6" s="13" t="s">
        <v>59</v>
      </c>
      <c r="E6" s="13" t="s">
        <v>59</v>
      </c>
      <c r="F6" s="13" t="s">
        <v>59</v>
      </c>
      <c r="G6" s="35">
        <v>29</v>
      </c>
      <c r="H6" s="13" t="s">
        <v>59</v>
      </c>
      <c r="I6" s="13" t="s">
        <v>59</v>
      </c>
      <c r="J6" s="13" t="s">
        <v>59</v>
      </c>
      <c r="K6" s="35">
        <v>30</v>
      </c>
      <c r="L6" s="13">
        <v>1E-3</v>
      </c>
      <c r="M6" s="21">
        <f t="shared" si="1"/>
        <v>29.5</v>
      </c>
      <c r="N6" s="8">
        <f t="shared" si="2"/>
        <v>2949999.9999999995</v>
      </c>
      <c r="O6" s="1"/>
      <c r="P6" s="126"/>
      <c r="Q6" s="6" t="s">
        <v>168</v>
      </c>
      <c r="R6" s="8">
        <f>AVERAGE(N12:N14)</f>
        <v>5033333.333333333</v>
      </c>
      <c r="S6" s="8">
        <f>STDEV(N12:N14)</f>
        <v>436844.74740270525</v>
      </c>
      <c r="T6" s="12">
        <v>3.8983050847457621</v>
      </c>
      <c r="U6" s="104">
        <f>TTEST(N9:N11,N12:N14,2,2)</f>
        <v>0.77824363874523295</v>
      </c>
      <c r="V6" s="104">
        <f>TTEST(N$3:N$5,N12:N14,2,2)</f>
        <v>1.7189594581601686E-2</v>
      </c>
      <c r="W6" s="22">
        <f t="shared" si="0"/>
        <v>-2.1423841059602644</v>
      </c>
      <c r="X6" s="22">
        <f>IF(R6/$R$5&gt;=1,R6/$R$5,-$R$5/R6)</f>
        <v>-1.0331125827814571</v>
      </c>
      <c r="Z6" s="126"/>
      <c r="AA6" s="6" t="s">
        <v>168</v>
      </c>
      <c r="AB6" s="8">
        <v>7673.333333333333</v>
      </c>
      <c r="AC6" s="8">
        <v>802.14296315141553</v>
      </c>
      <c r="AD6" s="12">
        <v>7.2981366459627326</v>
      </c>
      <c r="AE6" s="17">
        <v>1.005906821416792E-2</v>
      </c>
      <c r="AF6" s="22">
        <v>-2.1785403996524764</v>
      </c>
      <c r="AG6" s="105">
        <v>1.0217487794052373</v>
      </c>
      <c r="AL6" s="126"/>
      <c r="AM6" s="6" t="s">
        <v>168</v>
      </c>
      <c r="AN6" s="8">
        <f t="shared" si="3"/>
        <v>655.95134665508249</v>
      </c>
      <c r="AO6" s="8">
        <f t="shared" si="4"/>
        <v>64.098394606012036</v>
      </c>
      <c r="AS6" s="131" t="s">
        <v>182</v>
      </c>
      <c r="AT6" s="132"/>
    </row>
    <row r="7" spans="1:46" ht="15" customHeight="1" x14ac:dyDescent="0.2">
      <c r="A7" s="128"/>
      <c r="B7" s="128"/>
      <c r="C7" s="10" t="s">
        <v>62</v>
      </c>
      <c r="D7" s="13" t="s">
        <v>59</v>
      </c>
      <c r="E7" s="13" t="s">
        <v>59</v>
      </c>
      <c r="F7" s="13" t="s">
        <v>59</v>
      </c>
      <c r="G7" s="35">
        <v>49</v>
      </c>
      <c r="H7" s="13" t="s">
        <v>59</v>
      </c>
      <c r="I7" s="13" t="s">
        <v>59</v>
      </c>
      <c r="J7" s="13" t="s">
        <v>59</v>
      </c>
      <c r="K7" s="35">
        <v>48</v>
      </c>
      <c r="L7" s="13">
        <v>1E-3</v>
      </c>
      <c r="M7" s="21">
        <f t="shared" si="1"/>
        <v>48.5</v>
      </c>
      <c r="N7" s="8">
        <f t="shared" si="2"/>
        <v>4850000</v>
      </c>
      <c r="O7" s="1"/>
      <c r="P7" s="125" t="s">
        <v>119</v>
      </c>
      <c r="Q7" s="6" t="s">
        <v>164</v>
      </c>
      <c r="R7" s="8">
        <f>AVERAGE(N15:N17)</f>
        <v>7900000</v>
      </c>
      <c r="S7" s="8">
        <f>STDEV(N15:N17)</f>
        <v>3030264.0149003519</v>
      </c>
      <c r="T7" s="12">
        <v>9.7457627118644066</v>
      </c>
      <c r="U7" s="104"/>
      <c r="V7" s="104">
        <f>TTEST(N$3:N$5,N15:N17,2,2)</f>
        <v>0.2725389697536636</v>
      </c>
      <c r="W7" s="22">
        <f t="shared" si="0"/>
        <v>-1.3649789029535861</v>
      </c>
      <c r="X7" s="22"/>
      <c r="Z7" s="125" t="s">
        <v>119</v>
      </c>
      <c r="AA7" s="6" t="s">
        <v>164</v>
      </c>
      <c r="AB7" s="8">
        <v>13396.666666666666</v>
      </c>
      <c r="AC7" s="8">
        <v>2235.8294508600861</v>
      </c>
      <c r="AD7" s="12">
        <v>10.093167701863354</v>
      </c>
      <c r="AE7" s="17">
        <v>0.22355300906720033</v>
      </c>
      <c r="AF7" s="22">
        <v>-1.2478228415028616</v>
      </c>
      <c r="AG7" s="105">
        <v>1</v>
      </c>
      <c r="AL7" s="125" t="s">
        <v>119</v>
      </c>
      <c r="AM7" s="6" t="s">
        <v>164</v>
      </c>
      <c r="AN7" s="8">
        <f t="shared" si="3"/>
        <v>589.69893008211</v>
      </c>
      <c r="AO7" s="8">
        <f t="shared" si="4"/>
        <v>242.62070605065196</v>
      </c>
    </row>
    <row r="8" spans="1:46" ht="15" customHeight="1" x14ac:dyDescent="0.2">
      <c r="A8" s="129"/>
      <c r="B8" s="129"/>
      <c r="C8" s="10" t="s">
        <v>77</v>
      </c>
      <c r="D8" s="13" t="s">
        <v>59</v>
      </c>
      <c r="E8" s="13" t="s">
        <v>59</v>
      </c>
      <c r="F8" s="13" t="s">
        <v>59</v>
      </c>
      <c r="G8" s="35">
        <v>50</v>
      </c>
      <c r="H8" s="13" t="s">
        <v>59</v>
      </c>
      <c r="I8" s="13" t="s">
        <v>59</v>
      </c>
      <c r="J8" s="13" t="s">
        <v>59</v>
      </c>
      <c r="K8" s="35">
        <v>49</v>
      </c>
      <c r="L8" s="13">
        <v>1E-3</v>
      </c>
      <c r="M8" s="21">
        <f t="shared" si="1"/>
        <v>49.5</v>
      </c>
      <c r="N8" s="8">
        <f t="shared" si="2"/>
        <v>4950000</v>
      </c>
      <c r="O8" s="1"/>
      <c r="P8" s="126"/>
      <c r="Q8" s="6" t="s">
        <v>168</v>
      </c>
      <c r="R8" s="8">
        <f>AVERAGE(N18:N20)</f>
        <v>6750000</v>
      </c>
      <c r="S8" s="8">
        <f>STDEV(N18:N20)</f>
        <v>2496497.5465639858</v>
      </c>
      <c r="T8" s="12">
        <v>3.5593220338983045</v>
      </c>
      <c r="U8" s="104">
        <f>TTEST(N15:N17,N18:N20,2,2)</f>
        <v>0.63861869791029291</v>
      </c>
      <c r="V8" s="104">
        <f>TTEST(N$3:N$5,N18:N20,2,2)</f>
        <v>0.11917739182848892</v>
      </c>
      <c r="W8" s="22">
        <f t="shared" si="0"/>
        <v>-1.5975308641975303</v>
      </c>
      <c r="X8" s="22">
        <f>IF(R8/$R$7&gt;=1,R8/$R$7,-$R$7/R8)</f>
        <v>-1.1703703703703703</v>
      </c>
      <c r="Z8" s="126"/>
      <c r="AA8" s="6" t="s">
        <v>168</v>
      </c>
      <c r="AB8" s="8">
        <v>7290</v>
      </c>
      <c r="AC8" s="8">
        <v>1818.4883832458211</v>
      </c>
      <c r="AD8" s="12">
        <v>9.0062111801242235</v>
      </c>
      <c r="AE8" s="17">
        <v>1.2436082164421155E-2</v>
      </c>
      <c r="AF8" s="22">
        <v>-2.2930955647005034</v>
      </c>
      <c r="AG8" s="105">
        <v>-1.8376771833561956</v>
      </c>
      <c r="AL8" s="126"/>
      <c r="AM8" s="6" t="s">
        <v>168</v>
      </c>
      <c r="AN8" s="8">
        <f t="shared" si="3"/>
        <v>925.92592592592598</v>
      </c>
      <c r="AO8" s="8">
        <f t="shared" si="4"/>
        <v>400.07096853452975</v>
      </c>
    </row>
    <row r="9" spans="1:46" ht="15" customHeight="1" x14ac:dyDescent="0.2">
      <c r="A9" s="119" t="s">
        <v>120</v>
      </c>
      <c r="B9" s="127" t="s">
        <v>164</v>
      </c>
      <c r="C9" s="10" t="s">
        <v>63</v>
      </c>
      <c r="D9" s="13" t="s">
        <v>59</v>
      </c>
      <c r="E9" s="13" t="s">
        <v>59</v>
      </c>
      <c r="F9" s="13" t="s">
        <v>59</v>
      </c>
      <c r="G9" s="35">
        <v>56</v>
      </c>
      <c r="H9" s="13" t="s">
        <v>59</v>
      </c>
      <c r="I9" s="13" t="s">
        <v>59</v>
      </c>
      <c r="J9" s="13" t="s">
        <v>59</v>
      </c>
      <c r="K9" s="35">
        <v>53</v>
      </c>
      <c r="L9" s="13">
        <v>1E-3</v>
      </c>
      <c r="M9" s="21">
        <f t="shared" si="1"/>
        <v>54.5</v>
      </c>
      <c r="N9" s="8">
        <f t="shared" si="2"/>
        <v>5450000</v>
      </c>
      <c r="O9" s="1"/>
      <c r="P9" s="125" t="s">
        <v>166</v>
      </c>
      <c r="Q9" s="6" t="s">
        <v>164</v>
      </c>
      <c r="R9" s="8">
        <f>AVERAGE(N21:N23)</f>
        <v>4000000</v>
      </c>
      <c r="S9" s="8">
        <f>STDEV(N21:N23)</f>
        <v>500000</v>
      </c>
      <c r="T9" s="12">
        <v>7.3728813559322015</v>
      </c>
      <c r="U9" s="104"/>
      <c r="V9" s="104">
        <f>TTEST(N$3:N$5,N21:N23,2,2)</f>
        <v>9.9701044372864731E-3</v>
      </c>
      <c r="W9" s="22">
        <f t="shared" si="0"/>
        <v>-2.6958333333333324</v>
      </c>
      <c r="X9" s="22"/>
      <c r="Z9" s="125" t="s">
        <v>166</v>
      </c>
      <c r="AA9" s="6" t="s">
        <v>164</v>
      </c>
      <c r="AB9" s="8">
        <v>10046.666666666666</v>
      </c>
      <c r="AC9" s="8">
        <v>643.60961252403104</v>
      </c>
      <c r="AD9" s="12">
        <v>8.695652173913043</v>
      </c>
      <c r="AE9" s="17">
        <v>2.6682376512045324E-2</v>
      </c>
      <c r="AF9" s="22">
        <v>-1.6639017916390182</v>
      </c>
      <c r="AG9" s="105">
        <v>1</v>
      </c>
      <c r="AL9" s="125" t="s">
        <v>166</v>
      </c>
      <c r="AM9" s="6" t="s">
        <v>164</v>
      </c>
      <c r="AN9" s="8">
        <f t="shared" si="3"/>
        <v>398.14200398142009</v>
      </c>
      <c r="AO9" s="8">
        <f t="shared" si="4"/>
        <v>51.401701598075533</v>
      </c>
    </row>
    <row r="10" spans="1:46" ht="17" x14ac:dyDescent="0.2">
      <c r="A10" s="124"/>
      <c r="B10" s="128"/>
      <c r="C10" s="10" t="s">
        <v>64</v>
      </c>
      <c r="D10" s="13" t="s">
        <v>59</v>
      </c>
      <c r="E10" s="13" t="s">
        <v>59</v>
      </c>
      <c r="F10" s="13" t="s">
        <v>59</v>
      </c>
      <c r="G10" s="35">
        <v>41</v>
      </c>
      <c r="H10" s="13" t="s">
        <v>59</v>
      </c>
      <c r="I10" s="13" t="s">
        <v>59</v>
      </c>
      <c r="J10" s="13" t="s">
        <v>59</v>
      </c>
      <c r="K10" s="35">
        <v>44</v>
      </c>
      <c r="L10" s="13">
        <v>1E-3</v>
      </c>
      <c r="M10" s="21">
        <f t="shared" si="1"/>
        <v>42.5</v>
      </c>
      <c r="N10" s="8">
        <f t="shared" si="2"/>
        <v>4250000</v>
      </c>
      <c r="O10" s="1"/>
      <c r="P10" s="126"/>
      <c r="Q10" s="6" t="s">
        <v>168</v>
      </c>
      <c r="R10" s="8">
        <f>AVERAGE(N24:N26)</f>
        <v>3699999.9999999995</v>
      </c>
      <c r="S10" s="8">
        <f>STDEV(N24:N26)</f>
        <v>259807.6211353316</v>
      </c>
      <c r="T10" s="12">
        <v>4.6610169491525424</v>
      </c>
      <c r="U10" s="104">
        <f>TTEST(N21:N23,N24:N26,2,2)</f>
        <v>0.40862894744967265</v>
      </c>
      <c r="V10" s="104">
        <f>TTEST(N$3:N$5,N24:N26,2,2)</f>
        <v>8.1555078312120759E-3</v>
      </c>
      <c r="W10" s="22">
        <f t="shared" si="0"/>
        <v>-2.9144144144144137</v>
      </c>
      <c r="X10" s="22">
        <f>IF(R10/$R$9&gt;=1,R10/$R$9,-$R$9/R10)</f>
        <v>-1.0810810810810811</v>
      </c>
      <c r="Z10" s="126"/>
      <c r="AA10" s="6" t="s">
        <v>168</v>
      </c>
      <c r="AB10" s="8">
        <v>6453.333333333333</v>
      </c>
      <c r="AC10" s="8">
        <v>1075.9801732993669</v>
      </c>
      <c r="AD10" s="12">
        <v>7.2981366459627326</v>
      </c>
      <c r="AE10" s="17">
        <v>6.9605464503158356E-3</v>
      </c>
      <c r="AF10" s="22">
        <v>-2.5903925619834713</v>
      </c>
      <c r="AG10" s="105">
        <v>-1.5568181818181819</v>
      </c>
      <c r="AL10" s="126"/>
      <c r="AM10" s="6" t="s">
        <v>168</v>
      </c>
      <c r="AN10" s="8">
        <f>R10/AB10</f>
        <v>573.34710743801645</v>
      </c>
      <c r="AO10" s="8">
        <f t="shared" si="4"/>
        <v>56.19833151605836</v>
      </c>
    </row>
    <row r="11" spans="1:46" ht="15" customHeight="1" x14ac:dyDescent="0.2">
      <c r="A11" s="120"/>
      <c r="B11" s="129"/>
      <c r="C11" s="10" t="s">
        <v>78</v>
      </c>
      <c r="D11" s="13" t="s">
        <v>59</v>
      </c>
      <c r="E11" s="13" t="s">
        <v>59</v>
      </c>
      <c r="F11" s="13" t="s">
        <v>59</v>
      </c>
      <c r="G11" s="35">
        <v>63</v>
      </c>
      <c r="H11" s="13" t="s">
        <v>59</v>
      </c>
      <c r="I11" s="13" t="s">
        <v>59</v>
      </c>
      <c r="J11" s="13" t="s">
        <v>59</v>
      </c>
      <c r="K11" s="35">
        <v>55</v>
      </c>
      <c r="L11" s="13">
        <v>1E-3</v>
      </c>
      <c r="M11" s="21">
        <f t="shared" si="1"/>
        <v>59</v>
      </c>
      <c r="N11" s="8">
        <f t="shared" si="2"/>
        <v>5899999.9999999991</v>
      </c>
      <c r="O11" s="1"/>
      <c r="P11" s="41"/>
      <c r="Q11" s="41"/>
      <c r="R11" s="38"/>
      <c r="S11" s="38"/>
      <c r="T11" s="46"/>
      <c r="U11" s="48"/>
      <c r="V11" s="48"/>
      <c r="W11" s="48"/>
      <c r="X11" s="47"/>
      <c r="Y11" s="47"/>
    </row>
    <row r="12" spans="1:46" ht="16" customHeight="1" x14ac:dyDescent="0.2">
      <c r="A12" s="119" t="s">
        <v>120</v>
      </c>
      <c r="B12" s="127" t="s">
        <v>165</v>
      </c>
      <c r="C12" s="10" t="s">
        <v>82</v>
      </c>
      <c r="D12" s="13" t="s">
        <v>59</v>
      </c>
      <c r="E12" s="13" t="s">
        <v>59</v>
      </c>
      <c r="F12" s="13" t="s">
        <v>59</v>
      </c>
      <c r="G12" s="35">
        <v>53</v>
      </c>
      <c r="H12" s="13" t="s">
        <v>59</v>
      </c>
      <c r="I12" s="13" t="s">
        <v>59</v>
      </c>
      <c r="J12" s="13" t="s">
        <v>59</v>
      </c>
      <c r="K12" s="35">
        <v>55</v>
      </c>
      <c r="L12" s="13">
        <v>1E-3</v>
      </c>
      <c r="M12" s="21">
        <f t="shared" si="1"/>
        <v>54</v>
      </c>
      <c r="N12" s="8">
        <f t="shared" si="2"/>
        <v>5400000</v>
      </c>
      <c r="O12" s="1"/>
      <c r="P12" s="41"/>
      <c r="Q12" s="41"/>
      <c r="R12" s="38"/>
      <c r="S12" s="38"/>
      <c r="T12" s="46"/>
      <c r="U12" s="48"/>
      <c r="V12" s="48"/>
      <c r="W12" s="48"/>
      <c r="X12" s="47"/>
      <c r="Y12" s="47"/>
      <c r="AA12" s="1"/>
    </row>
    <row r="13" spans="1:46" ht="15" customHeight="1" x14ac:dyDescent="0.2">
      <c r="A13" s="124"/>
      <c r="B13" s="128"/>
      <c r="C13" s="10" t="s">
        <v>83</v>
      </c>
      <c r="D13" s="13" t="s">
        <v>59</v>
      </c>
      <c r="E13" s="13" t="s">
        <v>59</v>
      </c>
      <c r="F13" s="13" t="s">
        <v>59</v>
      </c>
      <c r="G13" s="35">
        <v>46</v>
      </c>
      <c r="H13" s="13" t="s">
        <v>59</v>
      </c>
      <c r="I13" s="13" t="s">
        <v>59</v>
      </c>
      <c r="J13" s="13" t="s">
        <v>59</v>
      </c>
      <c r="K13" s="35">
        <v>45</v>
      </c>
      <c r="L13" s="13">
        <v>1E-3</v>
      </c>
      <c r="M13" s="21">
        <f t="shared" si="1"/>
        <v>45.5</v>
      </c>
      <c r="N13" s="8">
        <f t="shared" si="2"/>
        <v>4550000</v>
      </c>
      <c r="O13" s="1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46" x14ac:dyDescent="0.2">
      <c r="A14" s="120"/>
      <c r="B14" s="129"/>
      <c r="C14" s="10" t="s">
        <v>88</v>
      </c>
      <c r="D14" s="13" t="s">
        <v>59</v>
      </c>
      <c r="E14" s="13" t="s">
        <v>59</v>
      </c>
      <c r="F14" s="13" t="s">
        <v>59</v>
      </c>
      <c r="G14" s="35">
        <v>53</v>
      </c>
      <c r="H14" s="13" t="s">
        <v>59</v>
      </c>
      <c r="I14" s="13" t="s">
        <v>59</v>
      </c>
      <c r="J14" s="13" t="s">
        <v>59</v>
      </c>
      <c r="K14" s="35">
        <v>50</v>
      </c>
      <c r="L14" s="13">
        <v>1E-3</v>
      </c>
      <c r="M14" s="21">
        <f t="shared" si="1"/>
        <v>51.5</v>
      </c>
      <c r="N14" s="8">
        <f t="shared" si="2"/>
        <v>5150000</v>
      </c>
      <c r="O14" s="1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46" ht="16" customHeight="1" x14ac:dyDescent="0.2">
      <c r="A15" s="119" t="s">
        <v>122</v>
      </c>
      <c r="B15" s="127" t="s">
        <v>164</v>
      </c>
      <c r="C15" s="10" t="s">
        <v>84</v>
      </c>
      <c r="D15" s="13" t="s">
        <v>59</v>
      </c>
      <c r="E15" s="13" t="s">
        <v>59</v>
      </c>
      <c r="F15" s="13" t="s">
        <v>59</v>
      </c>
      <c r="G15" s="35">
        <v>112</v>
      </c>
      <c r="H15" s="13" t="s">
        <v>59</v>
      </c>
      <c r="I15" s="13" t="s">
        <v>59</v>
      </c>
      <c r="J15" s="13" t="s">
        <v>59</v>
      </c>
      <c r="K15" s="35">
        <v>113</v>
      </c>
      <c r="L15" s="13">
        <v>1E-3</v>
      </c>
      <c r="M15" s="21">
        <f t="shared" si="1"/>
        <v>112.5</v>
      </c>
      <c r="N15" s="8">
        <f t="shared" si="2"/>
        <v>11250000</v>
      </c>
      <c r="O15" s="1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46" ht="17" customHeight="1" x14ac:dyDescent="0.2">
      <c r="A16" s="124"/>
      <c r="B16" s="128"/>
      <c r="C16" s="10" t="s">
        <v>85</v>
      </c>
      <c r="D16" s="13" t="s">
        <v>59</v>
      </c>
      <c r="E16" s="13" t="s">
        <v>59</v>
      </c>
      <c r="F16" s="13" t="s">
        <v>59</v>
      </c>
      <c r="G16" s="35">
        <v>56</v>
      </c>
      <c r="H16" s="13" t="s">
        <v>59</v>
      </c>
      <c r="I16" s="13" t="s">
        <v>59</v>
      </c>
      <c r="J16" s="13" t="s">
        <v>59</v>
      </c>
      <c r="K16" s="35">
        <v>51</v>
      </c>
      <c r="L16" s="13">
        <v>1E-3</v>
      </c>
      <c r="M16" s="21">
        <f t="shared" si="1"/>
        <v>53.5</v>
      </c>
      <c r="N16" s="8">
        <f t="shared" si="2"/>
        <v>5350000</v>
      </c>
      <c r="O16" s="1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7" x14ac:dyDescent="0.2">
      <c r="A17" s="120"/>
      <c r="B17" s="129"/>
      <c r="C17" s="10" t="s">
        <v>89</v>
      </c>
      <c r="D17" s="13" t="s">
        <v>59</v>
      </c>
      <c r="E17" s="13" t="s">
        <v>59</v>
      </c>
      <c r="F17" s="13" t="s">
        <v>59</v>
      </c>
      <c r="G17" s="35">
        <v>75</v>
      </c>
      <c r="H17" s="13" t="s">
        <v>59</v>
      </c>
      <c r="I17" s="13" t="s">
        <v>59</v>
      </c>
      <c r="J17" s="13" t="s">
        <v>59</v>
      </c>
      <c r="K17" s="35">
        <v>67</v>
      </c>
      <c r="L17" s="13">
        <v>1E-3</v>
      </c>
      <c r="M17" s="21">
        <f t="shared" si="1"/>
        <v>71</v>
      </c>
      <c r="N17" s="8">
        <f t="shared" si="2"/>
        <v>7099999.9999999991</v>
      </c>
      <c r="O17" s="1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7" ht="16" customHeight="1" x14ac:dyDescent="0.2">
      <c r="A18" s="119" t="s">
        <v>122</v>
      </c>
      <c r="B18" s="127" t="s">
        <v>165</v>
      </c>
      <c r="C18" s="10" t="s">
        <v>86</v>
      </c>
      <c r="D18" s="13" t="s">
        <v>59</v>
      </c>
      <c r="E18" s="13" t="s">
        <v>59</v>
      </c>
      <c r="F18" s="13" t="s">
        <v>59</v>
      </c>
      <c r="G18" s="35">
        <v>87</v>
      </c>
      <c r="H18" s="13" t="s">
        <v>59</v>
      </c>
      <c r="I18" s="13" t="s">
        <v>59</v>
      </c>
      <c r="J18" s="13" t="s">
        <v>59</v>
      </c>
      <c r="K18" s="35">
        <v>105</v>
      </c>
      <c r="L18" s="13">
        <v>1E-3</v>
      </c>
      <c r="M18" s="21">
        <f t="shared" si="1"/>
        <v>96</v>
      </c>
      <c r="N18" s="8">
        <f t="shared" si="2"/>
        <v>9600000</v>
      </c>
      <c r="O18" s="1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7" ht="15" customHeight="1" x14ac:dyDescent="0.2">
      <c r="A19" s="124"/>
      <c r="B19" s="128"/>
      <c r="C19" s="10" t="s">
        <v>87</v>
      </c>
      <c r="D19" s="13" t="s">
        <v>59</v>
      </c>
      <c r="E19" s="13" t="s">
        <v>59</v>
      </c>
      <c r="F19" s="13" t="s">
        <v>59</v>
      </c>
      <c r="G19" s="35">
        <v>54</v>
      </c>
      <c r="H19" s="13" t="s">
        <v>59</v>
      </c>
      <c r="I19" s="13" t="s">
        <v>59</v>
      </c>
      <c r="J19" s="13" t="s">
        <v>59</v>
      </c>
      <c r="K19" s="35">
        <v>45</v>
      </c>
      <c r="L19" s="13">
        <v>1E-3</v>
      </c>
      <c r="M19" s="21">
        <f t="shared" si="1"/>
        <v>49.5</v>
      </c>
      <c r="N19" s="8">
        <f t="shared" si="2"/>
        <v>4950000</v>
      </c>
      <c r="O19" s="1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7" ht="15" customHeight="1" x14ac:dyDescent="0.2">
      <c r="A20" s="120"/>
      <c r="B20" s="129"/>
      <c r="C20" s="10" t="s">
        <v>90</v>
      </c>
      <c r="D20" s="13" t="s">
        <v>59</v>
      </c>
      <c r="E20" s="13" t="s">
        <v>59</v>
      </c>
      <c r="F20" s="13" t="s">
        <v>59</v>
      </c>
      <c r="G20" s="35">
        <v>55</v>
      </c>
      <c r="H20" s="13" t="s">
        <v>59</v>
      </c>
      <c r="I20" s="13" t="s">
        <v>59</v>
      </c>
      <c r="J20" s="13" t="s">
        <v>59</v>
      </c>
      <c r="K20" s="35">
        <v>59</v>
      </c>
      <c r="L20" s="13">
        <v>1E-3</v>
      </c>
      <c r="M20" s="21">
        <f t="shared" si="1"/>
        <v>57</v>
      </c>
      <c r="N20" s="8">
        <f t="shared" si="2"/>
        <v>5699999.9999999991</v>
      </c>
      <c r="O20" s="1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7" ht="16" customHeight="1" x14ac:dyDescent="0.2">
      <c r="A21" s="119" t="s">
        <v>134</v>
      </c>
      <c r="B21" s="127" t="s">
        <v>164</v>
      </c>
      <c r="C21" s="10" t="s">
        <v>84</v>
      </c>
      <c r="D21" s="13" t="s">
        <v>59</v>
      </c>
      <c r="E21" s="13" t="s">
        <v>59</v>
      </c>
      <c r="F21" s="13" t="s">
        <v>59</v>
      </c>
      <c r="G21" s="35">
        <v>43</v>
      </c>
      <c r="H21" s="13" t="s">
        <v>59</v>
      </c>
      <c r="I21" s="13" t="s">
        <v>59</v>
      </c>
      <c r="J21" s="13" t="s">
        <v>59</v>
      </c>
      <c r="K21" s="35">
        <v>47</v>
      </c>
      <c r="L21" s="13">
        <v>1E-3</v>
      </c>
      <c r="M21" s="21">
        <f t="shared" si="1"/>
        <v>45</v>
      </c>
      <c r="N21" s="8">
        <f t="shared" si="2"/>
        <v>4500000</v>
      </c>
      <c r="O21" s="1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7" x14ac:dyDescent="0.2">
      <c r="A22" s="124"/>
      <c r="B22" s="128"/>
      <c r="C22" s="10" t="s">
        <v>85</v>
      </c>
      <c r="D22" s="13" t="s">
        <v>59</v>
      </c>
      <c r="E22" s="13" t="s">
        <v>59</v>
      </c>
      <c r="F22" s="13" t="s">
        <v>59</v>
      </c>
      <c r="G22" s="35">
        <v>48</v>
      </c>
      <c r="H22" s="13" t="s">
        <v>59</v>
      </c>
      <c r="I22" s="13" t="s">
        <v>59</v>
      </c>
      <c r="J22" s="13" t="s">
        <v>59</v>
      </c>
      <c r="K22" s="35">
        <v>32</v>
      </c>
      <c r="L22" s="13">
        <v>1E-3</v>
      </c>
      <c r="M22" s="21">
        <f t="shared" si="1"/>
        <v>40</v>
      </c>
      <c r="N22" s="8">
        <f t="shared" si="2"/>
        <v>3999999.9999999995</v>
      </c>
      <c r="O22" s="1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7" x14ac:dyDescent="0.2">
      <c r="A23" s="120"/>
      <c r="B23" s="129"/>
      <c r="C23" s="10" t="s">
        <v>89</v>
      </c>
      <c r="D23" s="13" t="s">
        <v>59</v>
      </c>
      <c r="E23" s="13" t="s">
        <v>59</v>
      </c>
      <c r="F23" s="13" t="s">
        <v>59</v>
      </c>
      <c r="G23" s="35">
        <v>29</v>
      </c>
      <c r="H23" s="13" t="s">
        <v>59</v>
      </c>
      <c r="I23" s="13" t="s">
        <v>59</v>
      </c>
      <c r="J23" s="13" t="s">
        <v>59</v>
      </c>
      <c r="K23" s="35">
        <v>41</v>
      </c>
      <c r="L23" s="13">
        <v>1E-3</v>
      </c>
      <c r="M23" s="21">
        <f t="shared" si="1"/>
        <v>35</v>
      </c>
      <c r="N23" s="8">
        <f t="shared" si="2"/>
        <v>3499999.9999999995</v>
      </c>
      <c r="O23" s="1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7" ht="16" customHeight="1" x14ac:dyDescent="0.2">
      <c r="A24" s="119" t="s">
        <v>134</v>
      </c>
      <c r="B24" s="127" t="s">
        <v>165</v>
      </c>
      <c r="C24" s="10" t="s">
        <v>86</v>
      </c>
      <c r="D24" s="13" t="s">
        <v>59</v>
      </c>
      <c r="E24" s="13" t="s">
        <v>59</v>
      </c>
      <c r="F24" s="13" t="s">
        <v>59</v>
      </c>
      <c r="G24" s="35">
        <v>40</v>
      </c>
      <c r="H24" s="13" t="s">
        <v>59</v>
      </c>
      <c r="I24" s="13" t="s">
        <v>59</v>
      </c>
      <c r="J24" s="13" t="s">
        <v>59</v>
      </c>
      <c r="K24" s="103">
        <v>31</v>
      </c>
      <c r="L24" s="13">
        <v>1E-3</v>
      </c>
      <c r="M24" s="21">
        <f t="shared" si="1"/>
        <v>35.5</v>
      </c>
      <c r="N24" s="8">
        <f t="shared" si="2"/>
        <v>3549999.9999999995</v>
      </c>
      <c r="O24" s="1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7" ht="15" customHeight="1" x14ac:dyDescent="0.2">
      <c r="A25" s="124"/>
      <c r="B25" s="128"/>
      <c r="C25" s="10" t="s">
        <v>87</v>
      </c>
      <c r="D25" s="13" t="s">
        <v>59</v>
      </c>
      <c r="E25" s="13" t="s">
        <v>59</v>
      </c>
      <c r="F25" s="13" t="s">
        <v>59</v>
      </c>
      <c r="G25" s="35">
        <v>41</v>
      </c>
      <c r="H25" s="13" t="s">
        <v>59</v>
      </c>
      <c r="I25" s="13" t="s">
        <v>59</v>
      </c>
      <c r="J25" s="13" t="s">
        <v>59</v>
      </c>
      <c r="K25" s="35">
        <v>39</v>
      </c>
      <c r="L25" s="13">
        <v>1E-3</v>
      </c>
      <c r="M25" s="21">
        <f t="shared" si="1"/>
        <v>40</v>
      </c>
      <c r="N25" s="8">
        <f t="shared" si="2"/>
        <v>3999999.9999999995</v>
      </c>
      <c r="O25" s="1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7" ht="15" customHeight="1" x14ac:dyDescent="0.2">
      <c r="A26" s="120"/>
      <c r="B26" s="129"/>
      <c r="C26" s="10" t="s">
        <v>90</v>
      </c>
      <c r="D26" s="13" t="s">
        <v>59</v>
      </c>
      <c r="E26" s="13" t="s">
        <v>59</v>
      </c>
      <c r="F26" s="13" t="s">
        <v>59</v>
      </c>
      <c r="G26" s="35">
        <v>44</v>
      </c>
      <c r="H26" s="13" t="s">
        <v>59</v>
      </c>
      <c r="I26" s="13" t="s">
        <v>59</v>
      </c>
      <c r="J26" s="13" t="s">
        <v>59</v>
      </c>
      <c r="K26" s="35">
        <v>27</v>
      </c>
      <c r="L26" s="13">
        <v>1E-3</v>
      </c>
      <c r="M26" s="21">
        <f t="shared" si="1"/>
        <v>35.5</v>
      </c>
      <c r="N26" s="8">
        <f t="shared" si="2"/>
        <v>3549999.9999999995</v>
      </c>
      <c r="O26" s="1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7" ht="15" customHeight="1" x14ac:dyDescent="0.2">
      <c r="A27" s="2" t="s">
        <v>65</v>
      </c>
      <c r="B27" s="2"/>
      <c r="C27" s="2"/>
      <c r="D27" s="2">
        <v>1</v>
      </c>
      <c r="E27" s="2">
        <f>D27/10</f>
        <v>0.1</v>
      </c>
      <c r="F27" s="2">
        <f>E27/10</f>
        <v>0.01</v>
      </c>
      <c r="G27" s="62">
        <v>1E-3</v>
      </c>
      <c r="H27" s="2">
        <v>1</v>
      </c>
      <c r="I27" s="2">
        <f>H27/10</f>
        <v>0.1</v>
      </c>
      <c r="J27" s="2">
        <f>I27/10</f>
        <v>0.01</v>
      </c>
      <c r="K27" s="62">
        <v>1E-3</v>
      </c>
      <c r="N27" s="1"/>
      <c r="O27" s="1"/>
      <c r="P27" s="41"/>
      <c r="Q27" s="41"/>
      <c r="R27" s="38"/>
      <c r="S27" s="38"/>
      <c r="T27" s="46"/>
      <c r="U27" s="46"/>
      <c r="V27" s="46"/>
      <c r="W27" s="46"/>
      <c r="X27" s="47"/>
      <c r="Y27" s="47"/>
    </row>
    <row r="28" spans="1:27" x14ac:dyDescent="0.2">
      <c r="A28" s="133" t="s">
        <v>123</v>
      </c>
      <c r="B28" s="133"/>
      <c r="C28" s="133"/>
      <c r="D28" s="133"/>
      <c r="O28" s="1"/>
      <c r="P28" s="41"/>
      <c r="Q28" s="41"/>
      <c r="R28" s="38"/>
      <c r="S28" s="38"/>
      <c r="T28" s="46"/>
      <c r="U28" s="48"/>
      <c r="V28" s="48"/>
      <c r="W28" s="48"/>
      <c r="X28" s="47"/>
      <c r="Y28" s="47"/>
    </row>
    <row r="29" spans="1:27" ht="15" customHeight="1" x14ac:dyDescent="0.2">
      <c r="E29" s="36"/>
      <c r="O29" s="1"/>
      <c r="P29" s="41"/>
      <c r="Q29" s="41"/>
      <c r="R29" s="38"/>
      <c r="S29" s="38"/>
      <c r="T29" s="46"/>
      <c r="U29" s="48"/>
      <c r="V29" s="48"/>
      <c r="W29" s="48"/>
      <c r="X29" s="47"/>
      <c r="Y29" s="47"/>
    </row>
    <row r="30" spans="1:27" ht="16" customHeight="1" x14ac:dyDescent="0.2">
      <c r="O30" s="1"/>
      <c r="P30" s="41"/>
      <c r="Q30" s="41"/>
      <c r="R30" s="38"/>
      <c r="S30" s="38"/>
      <c r="T30" s="46"/>
      <c r="U30" s="48"/>
      <c r="V30" s="48"/>
      <c r="W30" s="48"/>
      <c r="X30" s="47"/>
      <c r="Y30" s="47"/>
      <c r="AA30" s="1"/>
    </row>
    <row r="31" spans="1:27" ht="15" customHeight="1" x14ac:dyDescent="0.2">
      <c r="O31" s="1"/>
    </row>
    <row r="32" spans="1:27" x14ac:dyDescent="0.2">
      <c r="O32" s="1"/>
    </row>
    <row r="33" spans="10:15" x14ac:dyDescent="0.2">
      <c r="O33" s="1"/>
    </row>
    <row r="34" spans="10:15" x14ac:dyDescent="0.2">
      <c r="O34" s="1"/>
    </row>
    <row r="35" spans="10:15" x14ac:dyDescent="0.2">
      <c r="J35" s="1"/>
      <c r="K35" s="1"/>
      <c r="O35" s="1"/>
    </row>
    <row r="36" spans="10:15" x14ac:dyDescent="0.2">
      <c r="J36" s="1"/>
      <c r="K36" s="1"/>
      <c r="O36" s="1"/>
    </row>
    <row r="37" spans="10:15" ht="15" customHeight="1" x14ac:dyDescent="0.2">
      <c r="O37" s="1"/>
    </row>
    <row r="38" spans="10:15" ht="15" customHeight="1" x14ac:dyDescent="0.2">
      <c r="O38" s="1"/>
    </row>
    <row r="39" spans="10:15" ht="15" customHeight="1" x14ac:dyDescent="0.2">
      <c r="O39" s="1"/>
    </row>
    <row r="40" spans="10:15" x14ac:dyDescent="0.2">
      <c r="O40" s="1"/>
    </row>
    <row r="41" spans="10:15" ht="15" customHeight="1" x14ac:dyDescent="0.2">
      <c r="O41" s="1"/>
    </row>
    <row r="42" spans="10:15" ht="16" customHeight="1" x14ac:dyDescent="0.2">
      <c r="O42" s="1"/>
    </row>
    <row r="43" spans="10:15" ht="15" customHeight="1" x14ac:dyDescent="0.2">
      <c r="O43" s="1"/>
    </row>
    <row r="44" spans="10:15" x14ac:dyDescent="0.2">
      <c r="O44" s="1"/>
    </row>
    <row r="45" spans="10:15" x14ac:dyDescent="0.2">
      <c r="O45" s="1"/>
    </row>
    <row r="46" spans="10:15" x14ac:dyDescent="0.2">
      <c r="O46" s="1"/>
    </row>
    <row r="47" spans="10:15" x14ac:dyDescent="0.2">
      <c r="O47" s="1"/>
    </row>
  </sheetData>
  <mergeCells count="37">
    <mergeCell ref="A9:A11"/>
    <mergeCell ref="A28:D28"/>
    <mergeCell ref="A21:A23"/>
    <mergeCell ref="A24:A26"/>
    <mergeCell ref="A12:A14"/>
    <mergeCell ref="A15:A17"/>
    <mergeCell ref="A18:A20"/>
    <mergeCell ref="B9:B11"/>
    <mergeCell ref="B12:B14"/>
    <mergeCell ref="B15:B17"/>
    <mergeCell ref="B18:B20"/>
    <mergeCell ref="B21:B23"/>
    <mergeCell ref="B24:B26"/>
    <mergeCell ref="P1:X1"/>
    <mergeCell ref="AA1:AG1"/>
    <mergeCell ref="D1:F1"/>
    <mergeCell ref="H1:J1"/>
    <mergeCell ref="A3:A5"/>
    <mergeCell ref="B3:B5"/>
    <mergeCell ref="P3:P4"/>
    <mergeCell ref="P5:P6"/>
    <mergeCell ref="A6:A8"/>
    <mergeCell ref="B6:B8"/>
    <mergeCell ref="P7:P8"/>
    <mergeCell ref="P9:P10"/>
    <mergeCell ref="Z3:Z4"/>
    <mergeCell ref="Z5:Z6"/>
    <mergeCell ref="Z7:Z8"/>
    <mergeCell ref="Z9:Z10"/>
    <mergeCell ref="AL3:AL4"/>
    <mergeCell ref="AL5:AL6"/>
    <mergeCell ref="AL7:AL8"/>
    <mergeCell ref="AL9:AL10"/>
    <mergeCell ref="AS3:AT3"/>
    <mergeCell ref="AS4:AT4"/>
    <mergeCell ref="AS5:AT5"/>
    <mergeCell ref="AS6:AT6"/>
  </mergeCells>
  <pageMargins left="0.75" right="0.75" top="1" bottom="1" header="0.5" footer="0.5"/>
  <pageSetup scale="17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1B7E8-08E7-624C-826A-BDF580F5108A}">
  <dimension ref="A1:M47"/>
  <sheetViews>
    <sheetView topLeftCell="A21" zoomScale="90" zoomScaleNormal="90" workbookViewId="0">
      <selection activeCell="O29" sqref="O29"/>
    </sheetView>
  </sheetViews>
  <sheetFormatPr baseColWidth="10" defaultRowHeight="16" x14ac:dyDescent="0.2"/>
  <sheetData>
    <row r="1" spans="1:10" x14ac:dyDescent="0.2">
      <c r="A1" t="s">
        <v>125</v>
      </c>
    </row>
    <row r="3" spans="1:10" ht="51" x14ac:dyDescent="0.2">
      <c r="B3" s="27">
        <v>1</v>
      </c>
      <c r="C3" s="80">
        <v>2</v>
      </c>
      <c r="D3" s="80">
        <v>3</v>
      </c>
      <c r="E3" s="80">
        <v>4</v>
      </c>
      <c r="F3" s="80">
        <v>1</v>
      </c>
      <c r="G3" s="80">
        <v>2</v>
      </c>
      <c r="H3" s="80">
        <v>3</v>
      </c>
      <c r="I3" s="80">
        <v>4</v>
      </c>
      <c r="J3" s="81" t="s">
        <v>53</v>
      </c>
    </row>
    <row r="4" spans="1:10" x14ac:dyDescent="0.2">
      <c r="A4" s="127" t="s">
        <v>121</v>
      </c>
      <c r="B4" s="82" t="s">
        <v>59</v>
      </c>
      <c r="C4" s="83">
        <v>27</v>
      </c>
      <c r="D4" s="84">
        <v>3</v>
      </c>
      <c r="E4" s="84">
        <v>0</v>
      </c>
      <c r="F4" s="84" t="s">
        <v>59</v>
      </c>
      <c r="G4" s="83">
        <v>42</v>
      </c>
      <c r="H4" s="84">
        <v>2</v>
      </c>
      <c r="I4" s="84">
        <v>0</v>
      </c>
      <c r="J4" s="84">
        <v>0.1</v>
      </c>
    </row>
    <row r="5" spans="1:10" x14ac:dyDescent="0.2">
      <c r="A5" s="128"/>
      <c r="B5" s="82" t="s">
        <v>59</v>
      </c>
      <c r="C5" s="83">
        <v>78</v>
      </c>
      <c r="D5" s="84">
        <v>9</v>
      </c>
      <c r="E5" s="84">
        <v>0</v>
      </c>
      <c r="F5" s="84" t="s">
        <v>59</v>
      </c>
      <c r="G5" s="83">
        <v>76</v>
      </c>
      <c r="H5" s="84">
        <v>10</v>
      </c>
      <c r="I5" s="84">
        <v>0</v>
      </c>
      <c r="J5" s="84">
        <v>0.1</v>
      </c>
    </row>
    <row r="6" spans="1:10" x14ac:dyDescent="0.2">
      <c r="A6" s="129"/>
      <c r="B6" s="82" t="s">
        <v>59</v>
      </c>
      <c r="C6" s="83">
        <v>17</v>
      </c>
      <c r="D6" s="84">
        <v>1</v>
      </c>
      <c r="E6" s="84">
        <v>0</v>
      </c>
      <c r="F6" s="84" t="s">
        <v>59</v>
      </c>
      <c r="G6" s="83">
        <v>23</v>
      </c>
      <c r="H6" s="84">
        <v>1</v>
      </c>
      <c r="I6" s="84">
        <v>0</v>
      </c>
      <c r="J6" s="84">
        <v>0.1</v>
      </c>
    </row>
    <row r="7" spans="1:10" x14ac:dyDescent="0.2">
      <c r="A7" s="119" t="s">
        <v>118</v>
      </c>
      <c r="B7" s="61" t="s">
        <v>59</v>
      </c>
      <c r="C7" s="35">
        <v>37</v>
      </c>
      <c r="D7" s="61">
        <v>10</v>
      </c>
      <c r="E7" s="61">
        <v>0</v>
      </c>
      <c r="F7" s="78" t="s">
        <v>59</v>
      </c>
      <c r="G7" s="35">
        <v>58</v>
      </c>
      <c r="H7" s="61">
        <v>20</v>
      </c>
      <c r="I7" s="61">
        <v>0</v>
      </c>
      <c r="J7" s="13">
        <v>0.1</v>
      </c>
    </row>
    <row r="8" spans="1:10" x14ac:dyDescent="0.2">
      <c r="A8" s="124"/>
      <c r="B8" s="61">
        <v>60</v>
      </c>
      <c r="C8" s="35">
        <v>6</v>
      </c>
      <c r="D8" s="61">
        <v>2</v>
      </c>
      <c r="E8" s="61">
        <v>0</v>
      </c>
      <c r="F8" s="61">
        <v>43</v>
      </c>
      <c r="G8" s="35">
        <v>6</v>
      </c>
      <c r="H8" s="61">
        <v>0</v>
      </c>
      <c r="I8" s="61">
        <v>0</v>
      </c>
      <c r="J8" s="13">
        <v>0.1</v>
      </c>
    </row>
    <row r="9" spans="1:10" x14ac:dyDescent="0.2">
      <c r="A9" s="120"/>
      <c r="B9" s="61">
        <v>18</v>
      </c>
      <c r="C9" s="35">
        <v>13</v>
      </c>
      <c r="D9" s="61">
        <v>1</v>
      </c>
      <c r="E9" s="61">
        <v>0</v>
      </c>
      <c r="F9" s="61">
        <v>13</v>
      </c>
      <c r="G9" s="35">
        <v>10</v>
      </c>
      <c r="H9" s="61">
        <v>2</v>
      </c>
      <c r="I9" s="61">
        <v>0</v>
      </c>
      <c r="J9" s="13">
        <v>0.1</v>
      </c>
    </row>
    <row r="10" spans="1:10" x14ac:dyDescent="0.2">
      <c r="A10" t="s">
        <v>96</v>
      </c>
    </row>
    <row r="11" spans="1:10" x14ac:dyDescent="0.2">
      <c r="A11" s="127" t="s">
        <v>121</v>
      </c>
      <c r="B11" s="2">
        <v>100</v>
      </c>
      <c r="C11" s="2">
        <f t="shared" ref="C11:E16" si="0">AVERAGE(C4,G4)</f>
        <v>34.5</v>
      </c>
      <c r="D11" s="2">
        <f t="shared" si="0"/>
        <v>2.5</v>
      </c>
      <c r="E11" s="2">
        <f t="shared" si="0"/>
        <v>0</v>
      </c>
    </row>
    <row r="12" spans="1:10" x14ac:dyDescent="0.2">
      <c r="A12" s="128"/>
      <c r="B12" s="2">
        <v>100</v>
      </c>
      <c r="C12" s="2">
        <f t="shared" si="0"/>
        <v>77</v>
      </c>
      <c r="D12" s="2">
        <f t="shared" si="0"/>
        <v>9.5</v>
      </c>
      <c r="E12" s="2">
        <f t="shared" si="0"/>
        <v>0</v>
      </c>
    </row>
    <row r="13" spans="1:10" x14ac:dyDescent="0.2">
      <c r="A13" s="129"/>
      <c r="B13" s="2">
        <v>100</v>
      </c>
      <c r="C13" s="2">
        <f t="shared" si="0"/>
        <v>20</v>
      </c>
      <c r="D13" s="2">
        <f t="shared" si="0"/>
        <v>1</v>
      </c>
      <c r="E13" s="2">
        <f t="shared" si="0"/>
        <v>0</v>
      </c>
    </row>
    <row r="14" spans="1:10" x14ac:dyDescent="0.2">
      <c r="A14" s="119" t="s">
        <v>118</v>
      </c>
      <c r="B14" s="2">
        <v>100</v>
      </c>
      <c r="C14" s="2">
        <f t="shared" si="0"/>
        <v>47.5</v>
      </c>
      <c r="D14" s="2">
        <f t="shared" si="0"/>
        <v>15</v>
      </c>
      <c r="E14" s="2">
        <f t="shared" si="0"/>
        <v>0</v>
      </c>
    </row>
    <row r="15" spans="1:10" x14ac:dyDescent="0.2">
      <c r="A15" s="124"/>
      <c r="B15" s="2">
        <f>AVERAGE(B8,F8)</f>
        <v>51.5</v>
      </c>
      <c r="C15" s="2">
        <f t="shared" si="0"/>
        <v>6</v>
      </c>
      <c r="D15" s="2">
        <f t="shared" si="0"/>
        <v>1</v>
      </c>
      <c r="E15" s="2">
        <f t="shared" si="0"/>
        <v>0</v>
      </c>
    </row>
    <row r="16" spans="1:10" x14ac:dyDescent="0.2">
      <c r="A16" s="120"/>
      <c r="B16" s="2">
        <f>AVERAGE(B9,F9)</f>
        <v>15.5</v>
      </c>
      <c r="C16" s="2">
        <f t="shared" si="0"/>
        <v>11.5</v>
      </c>
      <c r="D16" s="2">
        <f t="shared" si="0"/>
        <v>1.5</v>
      </c>
      <c r="E16" s="2">
        <f t="shared" si="0"/>
        <v>0</v>
      </c>
    </row>
    <row r="18" spans="1:13" x14ac:dyDescent="0.2">
      <c r="A18" t="s">
        <v>75</v>
      </c>
      <c r="B18" s="2" t="s">
        <v>127</v>
      </c>
      <c r="C18" s="2" t="s">
        <v>126</v>
      </c>
    </row>
    <row r="19" spans="1:13" x14ac:dyDescent="0.2">
      <c r="B19" s="2"/>
      <c r="C19" s="2">
        <f t="shared" ref="C19:C24" si="1">C11/D11</f>
        <v>13.8</v>
      </c>
    </row>
    <row r="20" spans="1:13" x14ac:dyDescent="0.2">
      <c r="B20" s="2"/>
      <c r="C20" s="2">
        <f t="shared" si="1"/>
        <v>8.1052631578947363</v>
      </c>
    </row>
    <row r="21" spans="1:13" x14ac:dyDescent="0.2">
      <c r="B21" s="2"/>
      <c r="C21" s="2">
        <f t="shared" si="1"/>
        <v>20</v>
      </c>
    </row>
    <row r="22" spans="1:13" x14ac:dyDescent="0.2">
      <c r="B22" s="2"/>
      <c r="C22" s="2">
        <f t="shared" si="1"/>
        <v>3.1666666666666665</v>
      </c>
    </row>
    <row r="23" spans="1:13" x14ac:dyDescent="0.2">
      <c r="B23" s="2">
        <f>B15/C15</f>
        <v>8.5833333333333339</v>
      </c>
      <c r="C23" s="2">
        <f t="shared" si="1"/>
        <v>6</v>
      </c>
    </row>
    <row r="24" spans="1:13" x14ac:dyDescent="0.2">
      <c r="B24" s="2">
        <f>B16/C16</f>
        <v>1.3478260869565217</v>
      </c>
      <c r="C24" s="2">
        <f t="shared" si="1"/>
        <v>7.666666666666667</v>
      </c>
    </row>
    <row r="26" spans="1:13" x14ac:dyDescent="0.2">
      <c r="D26" t="s">
        <v>117</v>
      </c>
      <c r="E26" t="s">
        <v>118</v>
      </c>
    </row>
    <row r="27" spans="1:13" x14ac:dyDescent="0.2">
      <c r="A27" t="s">
        <v>128</v>
      </c>
    </row>
    <row r="28" spans="1:13" x14ac:dyDescent="0.2">
      <c r="A28" s="127" t="s">
        <v>121</v>
      </c>
      <c r="B28" s="35">
        <v>19</v>
      </c>
      <c r="C28" s="61">
        <v>1</v>
      </c>
      <c r="D28" s="13">
        <v>0</v>
      </c>
      <c r="E28" s="13">
        <v>0</v>
      </c>
      <c r="F28" s="35">
        <v>20</v>
      </c>
      <c r="G28" s="61">
        <v>3</v>
      </c>
      <c r="H28" s="13">
        <v>0</v>
      </c>
      <c r="I28" s="13">
        <v>0</v>
      </c>
      <c r="J28" s="13">
        <v>1</v>
      </c>
      <c r="L28" s="134" t="s">
        <v>117</v>
      </c>
      <c r="M28" t="s">
        <v>2</v>
      </c>
    </row>
    <row r="29" spans="1:13" x14ac:dyDescent="0.2">
      <c r="A29" s="128"/>
      <c r="B29" s="35">
        <v>11</v>
      </c>
      <c r="C29" s="61">
        <v>3</v>
      </c>
      <c r="D29" s="13">
        <v>1</v>
      </c>
      <c r="E29" s="13">
        <v>0</v>
      </c>
      <c r="F29" s="35">
        <v>16</v>
      </c>
      <c r="G29" s="61">
        <v>0</v>
      </c>
      <c r="H29" s="13">
        <v>1</v>
      </c>
      <c r="I29" s="13">
        <v>0</v>
      </c>
      <c r="J29" s="13">
        <v>1</v>
      </c>
      <c r="L29" s="134"/>
      <c r="M29" t="s">
        <v>5</v>
      </c>
    </row>
    <row r="30" spans="1:13" x14ac:dyDescent="0.2">
      <c r="A30" s="129"/>
      <c r="B30" s="35">
        <v>54</v>
      </c>
      <c r="C30" s="61">
        <v>7</v>
      </c>
      <c r="D30" s="13">
        <v>1</v>
      </c>
      <c r="E30" s="13">
        <v>0</v>
      </c>
      <c r="F30" s="35">
        <v>71</v>
      </c>
      <c r="G30" s="61">
        <v>7</v>
      </c>
      <c r="H30" s="13">
        <v>0</v>
      </c>
      <c r="I30" s="13">
        <v>0</v>
      </c>
      <c r="J30" s="13">
        <v>1</v>
      </c>
      <c r="L30" s="134"/>
      <c r="M30" t="s">
        <v>7</v>
      </c>
    </row>
    <row r="31" spans="1:13" x14ac:dyDescent="0.2">
      <c r="A31" s="119" t="s">
        <v>118</v>
      </c>
      <c r="B31" s="61">
        <v>13</v>
      </c>
      <c r="C31" s="35">
        <v>6</v>
      </c>
      <c r="D31" s="61">
        <v>0</v>
      </c>
      <c r="E31" s="61">
        <v>1</v>
      </c>
      <c r="F31" s="78">
        <v>20</v>
      </c>
      <c r="G31" s="35">
        <v>5</v>
      </c>
      <c r="H31" s="61">
        <v>1</v>
      </c>
      <c r="I31" s="61">
        <v>0</v>
      </c>
      <c r="J31" s="13">
        <v>0.1</v>
      </c>
      <c r="L31" s="134" t="s">
        <v>118</v>
      </c>
      <c r="M31" t="s">
        <v>2</v>
      </c>
    </row>
    <row r="32" spans="1:13" x14ac:dyDescent="0.2">
      <c r="A32" s="124"/>
      <c r="B32" s="61">
        <v>16</v>
      </c>
      <c r="C32" s="35">
        <v>18</v>
      </c>
      <c r="D32" s="61">
        <v>4</v>
      </c>
      <c r="E32" s="61">
        <v>0</v>
      </c>
      <c r="F32" s="61">
        <v>14</v>
      </c>
      <c r="G32" s="35">
        <v>20</v>
      </c>
      <c r="H32" s="61">
        <v>5</v>
      </c>
      <c r="I32" s="61">
        <v>0</v>
      </c>
      <c r="J32" s="13">
        <v>0.1</v>
      </c>
      <c r="L32" s="134"/>
      <c r="M32" t="s">
        <v>5</v>
      </c>
    </row>
    <row r="33" spans="1:13" x14ac:dyDescent="0.2">
      <c r="A33" s="120"/>
      <c r="B33" s="61">
        <v>9</v>
      </c>
      <c r="C33" s="35">
        <v>8</v>
      </c>
      <c r="D33" s="61" t="s">
        <v>124</v>
      </c>
      <c r="E33" s="61">
        <v>0</v>
      </c>
      <c r="F33" s="61">
        <v>6</v>
      </c>
      <c r="G33" s="35">
        <v>8</v>
      </c>
      <c r="H33" s="61">
        <v>1</v>
      </c>
      <c r="I33" s="61">
        <v>0</v>
      </c>
      <c r="J33" s="13">
        <v>0.1</v>
      </c>
      <c r="L33" s="134"/>
      <c r="M33" t="s">
        <v>7</v>
      </c>
    </row>
    <row r="34" spans="1:13" x14ac:dyDescent="0.2">
      <c r="A34" t="s">
        <v>96</v>
      </c>
      <c r="B34" t="s">
        <v>49</v>
      </c>
      <c r="C34" s="85">
        <v>4.8611111111111112E-2</v>
      </c>
    </row>
    <row r="35" spans="1:13" x14ac:dyDescent="0.2">
      <c r="A35" s="127" t="s">
        <v>121</v>
      </c>
      <c r="B35" s="2">
        <f>AVERAGE(B28,F28)</f>
        <v>19.5</v>
      </c>
      <c r="C35" s="2">
        <f t="shared" ref="C35:E35" si="2">AVERAGE(C28,G28)</f>
        <v>2</v>
      </c>
      <c r="D35" s="2">
        <f t="shared" si="2"/>
        <v>0</v>
      </c>
      <c r="E35" s="2">
        <f t="shared" si="2"/>
        <v>0</v>
      </c>
    </row>
    <row r="36" spans="1:13" x14ac:dyDescent="0.2">
      <c r="A36" s="128"/>
      <c r="B36" s="2">
        <f t="shared" ref="B36:B40" si="3">AVERAGE(B29,F29)</f>
        <v>13.5</v>
      </c>
      <c r="C36" s="2">
        <f t="shared" ref="C36:C40" si="4">AVERAGE(C29,G29)</f>
        <v>1.5</v>
      </c>
      <c r="D36" s="2">
        <f t="shared" ref="D36:D40" si="5">AVERAGE(D29,H29)</f>
        <v>1</v>
      </c>
      <c r="E36" s="2">
        <f t="shared" ref="E36:E40" si="6">AVERAGE(E29,I29)</f>
        <v>0</v>
      </c>
    </row>
    <row r="37" spans="1:13" x14ac:dyDescent="0.2">
      <c r="A37" s="129"/>
      <c r="B37" s="2">
        <f t="shared" si="3"/>
        <v>62.5</v>
      </c>
      <c r="C37" s="2">
        <f t="shared" si="4"/>
        <v>7</v>
      </c>
      <c r="D37" s="2">
        <f t="shared" si="5"/>
        <v>0.5</v>
      </c>
      <c r="E37" s="2">
        <f t="shared" si="6"/>
        <v>0</v>
      </c>
    </row>
    <row r="38" spans="1:13" x14ac:dyDescent="0.2">
      <c r="A38" s="119" t="s">
        <v>118</v>
      </c>
      <c r="B38" s="2">
        <f t="shared" si="3"/>
        <v>16.5</v>
      </c>
      <c r="C38" s="2">
        <f t="shared" si="4"/>
        <v>5.5</v>
      </c>
      <c r="D38" s="2">
        <f t="shared" si="5"/>
        <v>0.5</v>
      </c>
      <c r="E38" s="2">
        <f t="shared" si="6"/>
        <v>0.5</v>
      </c>
    </row>
    <row r="39" spans="1:13" x14ac:dyDescent="0.2">
      <c r="A39" s="124"/>
      <c r="B39" s="2">
        <f t="shared" si="3"/>
        <v>15</v>
      </c>
      <c r="C39" s="2">
        <f t="shared" si="4"/>
        <v>19</v>
      </c>
      <c r="D39" s="2">
        <f t="shared" si="5"/>
        <v>4.5</v>
      </c>
      <c r="E39" s="2">
        <f t="shared" si="6"/>
        <v>0</v>
      </c>
    </row>
    <row r="40" spans="1:13" x14ac:dyDescent="0.2">
      <c r="A40" s="120"/>
      <c r="B40" s="2">
        <f t="shared" si="3"/>
        <v>7.5</v>
      </c>
      <c r="C40" s="2">
        <f t="shared" si="4"/>
        <v>8</v>
      </c>
      <c r="D40" s="2">
        <f t="shared" si="5"/>
        <v>1</v>
      </c>
      <c r="E40" s="2">
        <f t="shared" si="6"/>
        <v>0</v>
      </c>
    </row>
    <row r="41" spans="1:13" x14ac:dyDescent="0.2">
      <c r="A41" t="s">
        <v>75</v>
      </c>
      <c r="B41" s="2" t="s">
        <v>127</v>
      </c>
      <c r="C41" s="2" t="s">
        <v>126</v>
      </c>
    </row>
    <row r="42" spans="1:13" x14ac:dyDescent="0.2">
      <c r="A42" s="127" t="s">
        <v>121</v>
      </c>
      <c r="B42" s="2">
        <f>B35/C35</f>
        <v>9.75</v>
      </c>
      <c r="C42" s="2" t="e">
        <f>C35/D35</f>
        <v>#DIV/0!</v>
      </c>
    </row>
    <row r="43" spans="1:13" x14ac:dyDescent="0.2">
      <c r="A43" s="128"/>
      <c r="B43" s="2">
        <f t="shared" ref="B43:C47" si="7">B36/C36</f>
        <v>9</v>
      </c>
      <c r="C43" s="2">
        <f t="shared" si="7"/>
        <v>1.5</v>
      </c>
    </row>
    <row r="44" spans="1:13" x14ac:dyDescent="0.2">
      <c r="A44" s="129"/>
      <c r="B44" s="2">
        <f t="shared" si="7"/>
        <v>8.9285714285714288</v>
      </c>
      <c r="C44" s="2">
        <f t="shared" si="7"/>
        <v>14</v>
      </c>
    </row>
    <row r="45" spans="1:13" x14ac:dyDescent="0.2">
      <c r="A45" s="119" t="s">
        <v>118</v>
      </c>
      <c r="B45" s="2">
        <f t="shared" si="7"/>
        <v>3</v>
      </c>
      <c r="C45" s="2">
        <f t="shared" si="7"/>
        <v>11</v>
      </c>
    </row>
    <row r="46" spans="1:13" x14ac:dyDescent="0.2">
      <c r="A46" s="124"/>
      <c r="B46" s="2">
        <f t="shared" si="7"/>
        <v>0.78947368421052633</v>
      </c>
      <c r="C46" s="2">
        <f t="shared" si="7"/>
        <v>4.2222222222222223</v>
      </c>
    </row>
    <row r="47" spans="1:13" x14ac:dyDescent="0.2">
      <c r="A47" s="120"/>
      <c r="B47" s="2">
        <f t="shared" si="7"/>
        <v>0.9375</v>
      </c>
      <c r="C47" s="2">
        <f t="shared" si="7"/>
        <v>8</v>
      </c>
    </row>
  </sheetData>
  <mergeCells count="12">
    <mergeCell ref="A35:A37"/>
    <mergeCell ref="A38:A40"/>
    <mergeCell ref="A42:A44"/>
    <mergeCell ref="A45:A47"/>
    <mergeCell ref="L28:L30"/>
    <mergeCell ref="L31:L33"/>
    <mergeCell ref="A31:A33"/>
    <mergeCell ref="A7:A9"/>
    <mergeCell ref="A4:A6"/>
    <mergeCell ref="A11:A13"/>
    <mergeCell ref="A14:A16"/>
    <mergeCell ref="A28:A30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PlateSetup</vt:lpstr>
      <vt:lpstr>BacteriaCalcs</vt:lpstr>
      <vt:lpstr>PlatePlanning</vt:lpstr>
      <vt:lpstr>Inoculum</vt:lpstr>
      <vt:lpstr>T=2</vt:lpstr>
      <vt:lpstr>T=24</vt:lpstr>
      <vt:lpstr>SDS vs saponin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2021-04-30T13:01:22Z</cp:lastPrinted>
  <dcterms:created xsi:type="dcterms:W3CDTF">2019-06-17T19:44:26Z</dcterms:created>
  <dcterms:modified xsi:type="dcterms:W3CDTF">2021-05-11T20:39:46Z</dcterms:modified>
</cp:coreProperties>
</file>