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C3442B8C-CE27-7A4F-ADFF-C41E2FD777BB}" xr6:coauthVersionLast="46" xr6:coauthVersionMax="46" xr10:uidLastSave="{00000000-0000-0000-0000-000000000000}"/>
  <bookViews>
    <workbookView xWindow="2240" yWindow="2200" windowWidth="27880" windowHeight="1556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5" l="1"/>
  <c r="L9" i="5"/>
  <c r="L8" i="5"/>
  <c r="L25" i="5"/>
  <c r="L7" i="5"/>
  <c r="H8" i="3"/>
  <c r="H7" i="3"/>
  <c r="H6" i="3" l="1"/>
  <c r="H5" i="3"/>
  <c r="I5" i="3" s="1"/>
  <c r="F3" i="4"/>
  <c r="F4" i="4"/>
  <c r="F5" i="4"/>
  <c r="F6" i="4"/>
  <c r="J5" i="3" l="1"/>
  <c r="H34" i="5" l="1"/>
  <c r="I34" i="5" s="1"/>
  <c r="D34" i="5"/>
  <c r="E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M27" i="5"/>
  <c r="L26" i="5"/>
  <c r="M26" i="5" s="1"/>
  <c r="M25" i="5"/>
  <c r="L24" i="5"/>
  <c r="M24" i="5" s="1"/>
  <c r="L23" i="5"/>
  <c r="M23" i="5" s="1"/>
  <c r="L22" i="5"/>
  <c r="M22" i="5" s="1"/>
  <c r="L14" i="5"/>
  <c r="M14" i="5" s="1"/>
  <c r="L11" i="5"/>
  <c r="M11" i="5" s="1"/>
  <c r="M8" i="5"/>
  <c r="L5" i="5"/>
  <c r="M5" i="5" s="1"/>
  <c r="H10" i="3"/>
  <c r="H4" i="3"/>
  <c r="G4" i="2"/>
  <c r="G5" i="2"/>
  <c r="G6" i="2"/>
  <c r="G3" i="2"/>
  <c r="D3" i="2"/>
  <c r="E3" i="2"/>
  <c r="D4" i="2"/>
  <c r="E4" i="2"/>
  <c r="D5" i="2"/>
  <c r="E5" i="2"/>
  <c r="D6" i="2"/>
  <c r="E6" i="2" s="1"/>
  <c r="W13" i="6"/>
  <c r="W14" i="6" s="1"/>
  <c r="W15" i="6" s="1"/>
  <c r="Q9" i="6" s="1"/>
  <c r="Q10" i="6" s="1"/>
  <c r="W4" i="6"/>
  <c r="W5" i="6" s="1"/>
  <c r="W6" i="6" s="1"/>
  <c r="Q6" i="6" s="1"/>
  <c r="B10" i="1" l="1"/>
  <c r="C10" i="1"/>
  <c r="B9" i="1"/>
  <c r="C9" i="1"/>
  <c r="B8" i="1"/>
  <c r="H9" i="3"/>
  <c r="L6" i="5"/>
  <c r="L4" i="5"/>
  <c r="L13" i="5"/>
  <c r="M13" i="5" s="1"/>
  <c r="L12" i="5"/>
  <c r="M12" i="5" s="1"/>
  <c r="I9" i="3" l="1"/>
  <c r="J9" i="3"/>
  <c r="L9" i="3" s="1"/>
  <c r="C19" i="3" s="1"/>
  <c r="J7" i="3"/>
  <c r="L7" i="3" s="1"/>
  <c r="C18" i="3" s="1"/>
  <c r="I7" i="3"/>
  <c r="K7" i="3" s="1"/>
  <c r="M7" i="3" s="1"/>
  <c r="K9" i="3"/>
  <c r="M4" i="5"/>
  <c r="B18" i="3" l="1"/>
  <c r="M9" i="3"/>
  <c r="B19" i="3"/>
  <c r="H3" i="3"/>
  <c r="J3" i="3" l="1"/>
  <c r="I3" i="3"/>
  <c r="K3" i="3" s="1"/>
  <c r="M3" i="3" s="1"/>
  <c r="L10" i="5"/>
  <c r="M10" i="5" s="1"/>
  <c r="L15" i="5"/>
  <c r="M15" i="5" s="1"/>
  <c r="M6" i="5"/>
  <c r="B16" i="3" l="1"/>
  <c r="R4" i="5"/>
  <c r="Q4" i="5"/>
  <c r="R7" i="5"/>
  <c r="Q7" i="5"/>
  <c r="Q6" i="5"/>
  <c r="R6" i="5"/>
  <c r="T5" i="5"/>
  <c r="B13" i="4" l="1"/>
  <c r="Q19" i="6"/>
  <c r="Q4" i="6"/>
  <c r="Q7" i="6" s="1"/>
  <c r="Q8" i="6" s="1"/>
  <c r="Q21" i="6" l="1"/>
  <c r="Q23" i="6" s="1"/>
  <c r="M7" i="5"/>
  <c r="Q25" i="6" l="1"/>
  <c r="M9" i="5"/>
  <c r="F14" i="4"/>
  <c r="G14" i="4" s="1"/>
  <c r="O6" i="4" s="1"/>
  <c r="F13" i="4"/>
  <c r="G13" i="4" s="1"/>
  <c r="F12" i="4"/>
  <c r="G12" i="4" s="1"/>
  <c r="H16" i="5"/>
  <c r="I16" i="5" s="1"/>
  <c r="D16" i="5"/>
  <c r="E16" i="5" s="1"/>
  <c r="F11" i="4"/>
  <c r="G11" i="4" s="1"/>
  <c r="F10" i="4"/>
  <c r="G10" i="4" s="1"/>
  <c r="F9" i="4"/>
  <c r="G9" i="4" s="1"/>
  <c r="F8" i="4"/>
  <c r="G8" i="4" s="1"/>
  <c r="F7" i="4"/>
  <c r="G7" i="4" s="1"/>
  <c r="G6" i="4"/>
  <c r="G5" i="4"/>
  <c r="G4" i="4"/>
  <c r="G3" i="4"/>
  <c r="E11" i="3"/>
  <c r="F11" i="3" s="1"/>
  <c r="O4" i="4" l="1"/>
  <c r="M6" i="4"/>
  <c r="L6" i="4"/>
  <c r="M5" i="4"/>
  <c r="L5" i="4"/>
  <c r="M3" i="4"/>
  <c r="H3" i="4"/>
  <c r="L3" i="4"/>
  <c r="M4" i="4"/>
  <c r="L4" i="4"/>
  <c r="Q5" i="5"/>
  <c r="R5" i="5"/>
  <c r="O5" i="4"/>
  <c r="L3" i="3"/>
  <c r="C16" i="3" s="1"/>
  <c r="K5" i="3"/>
  <c r="L5" i="3"/>
  <c r="C17" i="3" s="1"/>
  <c r="M5" i="3" l="1"/>
  <c r="B17" i="3"/>
  <c r="P3" i="4"/>
  <c r="H9" i="4"/>
  <c r="H12" i="4"/>
  <c r="H6" i="4"/>
  <c r="P6" i="4"/>
  <c r="P5" i="4"/>
  <c r="P4" i="4"/>
  <c r="B36" i="1" l="1"/>
  <c r="B37" i="1" s="1"/>
  <c r="B33" i="1"/>
  <c r="B34" i="1" s="1"/>
  <c r="W31" i="1"/>
  <c r="W30" i="1"/>
  <c r="W29" i="1"/>
  <c r="C11" i="1"/>
  <c r="B11" i="1"/>
  <c r="B12" i="1" l="1"/>
</calcChain>
</file>

<file path=xl/sharedStrings.xml><?xml version="1.0" encoding="utf-8"?>
<sst xmlns="http://schemas.openxmlformats.org/spreadsheetml/2006/main" count="280" uniqueCount="123">
  <si>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</si>
  <si>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</si>
  <si>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</si>
  <si>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</si>
  <si>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</si>
  <si>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</si>
  <si>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</si>
  <si>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</si>
  <si>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</si>
  <si>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</si>
  <si>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</si>
  <si>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</si>
  <si>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</si>
  <si>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</si>
  <si>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</si>
  <si>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</si>
  <si>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</si>
  <si>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</si>
  <si>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</si>
  <si>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</si>
  <si>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</si>
  <si>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</si>
  <si>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</si>
  <si>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</si>
  <si>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</si>
  <si>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</si>
  <si>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</si>
  <si>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</si>
  <si>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</si>
  <si>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</si>
  <si>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</si>
  <si>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</si>
  <si>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</si>
  <si>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</si>
  <si>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</si>
  <si>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</si>
  <si>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</si>
  <si>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</si>
  <si>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</si>
  <si>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</si>
  <si>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</si>
  <si>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</si>
  <si>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</si>
  <si>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</si>
  <si>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</si>
  <si>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</si>
  <si>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</si>
  <si>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</si>
  <si>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</si>
  <si>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</si>
  <si>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</si>
  <si>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</si>
  <si>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</si>
  <si>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</si>
  <si>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</si>
  <si>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</si>
  <si>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</si>
  <si>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</si>
  <si>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</si>
  <si>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</si>
  <si>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</si>
  <si>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</si>
  <si>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</si>
  <si>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</si>
  <si>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</si>
  <si>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</si>
  <si>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</si>
  <si>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</si>
  <si>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</si>
  <si>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</si>
  <si>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</si>
  <si>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</si>
  <si>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</si>
  <si>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</si>
  <si>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</si>
  <si>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</si>
  <si>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</si>
  <si>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</si>
  <si>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</si>
  <si>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</si>
  <si>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</si>
  <si>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</si>
  <si>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</si>
  <si>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</si>
  <si>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</si>
  <si>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</si>
  <si>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T-test (vs LVS)</t>
  </si>
  <si>
    <t>*Plated 50 ul on circular plate</t>
  </si>
  <si>
    <t>7A</t>
  </si>
  <si>
    <t>7C</t>
  </si>
  <si>
    <t>T=24</t>
  </si>
  <si>
    <t>2nd measurement</t>
  </si>
  <si>
    <t>1st measurement</t>
  </si>
  <si>
    <t>Average</t>
  </si>
  <si>
    <t>Undiluted</t>
  </si>
  <si>
    <t>Density</t>
  </si>
  <si>
    <t>#</t>
  </si>
  <si>
    <t>LVS (master stock)</t>
  </si>
  <si>
    <t>Media (uL)</t>
  </si>
  <si>
    <t>∆pigR</t>
  </si>
  <si>
    <t>KMLFT37.1 from KR lab</t>
  </si>
  <si>
    <t>JCLVS106.1</t>
  </si>
  <si>
    <t>∆pmrA</t>
  </si>
  <si>
    <t>KRLVS40.1</t>
  </si>
  <si>
    <t>2x each, each 1/2 plate</t>
  </si>
  <si>
    <t>For final vol 1.3 mL at 0.04</t>
  </si>
  <si>
    <t>4A</t>
  </si>
  <si>
    <t>4B</t>
  </si>
  <si>
    <t>KRLVS40</t>
  </si>
  <si>
    <t>KMLFT37.1</t>
  </si>
  <si>
    <t>mac only</t>
  </si>
  <si>
    <t>LVS only</t>
  </si>
  <si>
    <t>4 strains in duplicate</t>
  </si>
  <si>
    <t>Round: 4 strains x triplicate wells x duplicate</t>
  </si>
  <si>
    <t>Square: 3 strains x 3 wells x 2 plates; round: ∆pigR x 3 wells x 2 plates</t>
  </si>
  <si>
    <t>4C</t>
  </si>
  <si>
    <t>JCLVS106.1*</t>
  </si>
  <si>
    <t>Standard CHA</t>
  </si>
  <si>
    <t>BD CHA</t>
  </si>
  <si>
    <t>KRLVS40.1*</t>
  </si>
  <si>
    <t>* Colonies look odd; mixed small and large. Contamination??</t>
  </si>
  <si>
    <t>KMLFT37.1 from KR lab*</t>
  </si>
  <si>
    <t>*cells grew super slow!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</si>
</sst>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2" fontId="7" fillId="0" borderId="1" xfId="0" applyNumberFormat="1" applyFont="1" applyFill="1" applyBorder="1"/>
    <xf numFmtId="2" fontId="7" fillId="0" borderId="1" xfId="0" applyNumberFormat="1" applyFont="1" applyBorder="1"/>
    <xf numFmtId="11" fontId="0" fillId="0" borderId="1" xfId="0" applyNumberFormat="1" applyFill="1" applyBorder="1"/>
    <xf numFmtId="164" fontId="0" fillId="0" borderId="1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0" fillId="0" borderId="1" xfId="0" applyNumberFormat="1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Inoculum!$B$15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Inoculum!$C$16:$C$19</c:f>
                <c:numCache>
                  <c:formatCode>General</c:formatCode>
                  <c:ptCount val="4"/>
                  <c:pt idx="0">
                    <c:v>31819.805153394638</c:v>
                  </c:pt>
                  <c:pt idx="1">
                    <c:v>2828.4271247461902</c:v>
                  </c:pt>
                  <c:pt idx="2">
                    <c:v>3181.9805153394641</c:v>
                  </c:pt>
                  <c:pt idx="3">
                    <c:v>35355.339059327373</c:v>
                  </c:pt>
                </c:numCache>
              </c:numRef>
            </c:plus>
            <c:minus>
              <c:numRef>
                <c:f>Inoculum!$C$16:$C$19</c:f>
                <c:numCache>
                  <c:formatCode>General</c:formatCode>
                  <c:ptCount val="4"/>
                  <c:pt idx="0">
                    <c:v>31819.805153394638</c:v>
                  </c:pt>
                  <c:pt idx="1">
                    <c:v>2828.4271247461902</c:v>
                  </c:pt>
                  <c:pt idx="2">
                    <c:v>3181.9805153394641</c:v>
                  </c:pt>
                  <c:pt idx="3">
                    <c:v>35355.339059327373</c:v>
                  </c:pt>
                </c:numCache>
              </c:numRef>
            </c:minus>
          </c:errBars>
          <c:cat>
            <c:strRef>
              <c:f>Inoculum!$A$16:$A$19</c:f>
              <c:strCache>
                <c:ptCount val="4"/>
                <c:pt idx="0">
                  <c:v>LVS</c:v>
                </c:pt>
                <c:pt idx="1">
                  <c:v>KMLFT37.1 from KR lab</c:v>
                </c:pt>
                <c:pt idx="2">
                  <c:v>KRLVS40.1</c:v>
                </c:pt>
                <c:pt idx="3">
                  <c:v>JCLVS106.1</c:v>
                </c:pt>
              </c:strCache>
            </c:strRef>
          </c:cat>
          <c:val>
            <c:numRef>
              <c:f>Inoculum!$B$16:$B$19</c:f>
              <c:numCache>
                <c:formatCode>0.00E+00</c:formatCode>
                <c:ptCount val="4"/>
                <c:pt idx="0">
                  <c:v>92500</c:v>
                </c:pt>
                <c:pt idx="1">
                  <c:v>34000</c:v>
                </c:pt>
                <c:pt idx="2">
                  <c:v>34250</c:v>
                </c:pt>
                <c:pt idx="3">
                  <c:v>124999.99999999999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'T=2'!$M$3:$M$6</c:f>
                <c:numCache>
                  <c:formatCode>General</c:formatCode>
                  <c:ptCount val="4"/>
                  <c:pt idx="0">
                    <c:v>11.135528725660043</c:v>
                  </c:pt>
                  <c:pt idx="1">
                    <c:v>4.6188021535170067</c:v>
                  </c:pt>
                  <c:pt idx="2">
                    <c:v>32.145502536643185</c:v>
                  </c:pt>
                  <c:pt idx="3">
                    <c:v>26.633312473917574</c:v>
                  </c:pt>
                </c:numCache>
              </c:numRef>
            </c:plus>
            <c:minus>
              <c:numRef>
                <c:f>'T=2'!$M$3:$M$6</c:f>
                <c:numCache>
                  <c:formatCode>General</c:formatCode>
                  <c:ptCount val="4"/>
                  <c:pt idx="0">
                    <c:v>11.135528725660043</c:v>
                  </c:pt>
                  <c:pt idx="1">
                    <c:v>4.6188021535170067</c:v>
                  </c:pt>
                  <c:pt idx="2">
                    <c:v>32.145502536643185</c:v>
                  </c:pt>
                  <c:pt idx="3">
                    <c:v>26.633312473917574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'T=2'!$K$3:$K$6</c:f>
              <c:strCache>
                <c:ptCount val="4"/>
                <c:pt idx="0">
                  <c:v>LVS</c:v>
                </c:pt>
                <c:pt idx="1">
                  <c:v>KMLFT37.1 from KR lab</c:v>
                </c:pt>
                <c:pt idx="2">
                  <c:v>KRLVS40.1</c:v>
                </c:pt>
                <c:pt idx="3">
                  <c:v>JCLVS106.1</c:v>
                </c:pt>
              </c:strCache>
            </c:strRef>
          </c:cat>
          <c:val>
            <c:numRef>
              <c:f>'T=2'!$L$3:$L$6</c:f>
              <c:numCache>
                <c:formatCode>0.00E+00</c:formatCode>
                <c:ptCount val="4"/>
                <c:pt idx="0">
                  <c:v>44</c:v>
                </c:pt>
                <c:pt idx="1">
                  <c:v>11.333333333333334</c:v>
                </c:pt>
                <c:pt idx="2">
                  <c:v>48.666666666666664</c:v>
                </c:pt>
                <c:pt idx="3">
                  <c:v>50.666666666666664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'T=24'!$R$4:$R$5</c:f>
                <c:numCache>
                  <c:formatCode>General</c:formatCode>
                  <c:ptCount val="2"/>
                  <c:pt idx="0">
                    <c:v>6110.1009266077999</c:v>
                  </c:pt>
                  <c:pt idx="1">
                    <c:v>252.87941790505602</c:v>
                  </c:pt>
                </c:numCache>
              </c:numRef>
            </c:plus>
            <c:minus>
              <c:numRef>
                <c:f>'T=24'!$R$4:$R$5</c:f>
                <c:numCache>
                  <c:formatCode>General</c:formatCode>
                  <c:ptCount val="2"/>
                  <c:pt idx="0">
                    <c:v>6110.1009266077999</c:v>
                  </c:pt>
                  <c:pt idx="1">
                    <c:v>252.87941790505602</c:v>
                  </c:pt>
                </c:numCache>
              </c:numRef>
            </c:minus>
          </c:errBars>
          <c:cat>
            <c:strRef>
              <c:f>'T=24'!$P$4:$P$7</c:f>
              <c:strCache>
                <c:ptCount val="4"/>
                <c:pt idx="0">
                  <c:v>LVS (master stock)</c:v>
                </c:pt>
                <c:pt idx="1">
                  <c:v>KMLFT37.1 from KR lab</c:v>
                </c:pt>
                <c:pt idx="2">
                  <c:v>KRLVS40.1</c:v>
                </c:pt>
                <c:pt idx="3">
                  <c:v>JCLVS106.1</c:v>
                </c:pt>
              </c:strCache>
            </c:strRef>
          </c:cat>
          <c:val>
            <c:numRef>
              <c:f>'T=24'!$Q$4:$Q$7</c:f>
              <c:numCache>
                <c:formatCode>0.00E+00</c:formatCode>
                <c:ptCount val="4"/>
                <c:pt idx="0">
                  <c:v>42333.333333333336</c:v>
                </c:pt>
                <c:pt idx="1">
                  <c:v>286</c:v>
                </c:pt>
                <c:pt idx="2">
                  <c:v>39.333333333333336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20</xdr:row>
      <xdr:rowOff>158750</xdr:rowOff>
    </xdr:from>
    <xdr:to>
      <xdr:col>14</xdr:col>
      <xdr:colOff>749300</xdr:colOff>
      <xdr:row>32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580736</xdr:colOff>
      <xdr:row>8</xdr:row>
      <xdr:rowOff>20397</xdr:rowOff>
    </xdr:from>
    <xdr:to>
      <xdr:col>17</xdr:col>
      <xdr:colOff>704273</xdr:colOff>
      <xdr:row>26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1063979</xdr:colOff>
      <xdr:row>33</xdr:row>
      <xdr:rowOff>14111</xdr:rowOff>
    </xdr:from>
    <xdr:to>
      <xdr:col>28</xdr:col>
      <xdr:colOff>483307</xdr:colOff>
      <xdr:row>60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Z30"/>
  <sheetViews>
    <sheetView topLeftCell="H1" zoomScale="150" zoomScaleNormal="150" workbookViewId="0">
      <selection activeCell="X12" sqref="X12"/>
    </sheetView>
  </sheetViews>
  <sheetFormatPr baseColWidth="10" defaultColWidth="10.6640625" defaultRowHeight="16" x14ac:dyDescent="0.2"/>
  <cols>
    <col min="1" max="1" width="2.5" bestFit="1" customWidth="1"/>
    <col min="2" max="4" width="11.33203125" customWidth="1"/>
    <col min="5" max="5" width="2.1640625" bestFit="1" customWidth="1"/>
    <col min="6" max="8" width="11.33203125" customWidth="1"/>
    <col min="9" max="9" width="2.1640625" bestFit="1" customWidth="1"/>
    <col min="10" max="10" width="11.33203125" customWidth="1"/>
    <col min="11" max="13" width="3.1640625" bestFit="1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1" spans="1:26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57"/>
      <c r="P1" s="77" t="s">
        <v>1</v>
      </c>
      <c r="Q1" s="77"/>
      <c r="S1" s="78" t="s">
        <v>92</v>
      </c>
      <c r="T1" s="78"/>
      <c r="U1" s="78"/>
      <c r="V1" s="78"/>
      <c r="W1" s="78"/>
    </row>
    <row r="2" spans="1:26" ht="17" x14ac:dyDescent="0.2">
      <c r="A2" s="5" t="s">
        <v>2</v>
      </c>
      <c r="B2" s="6" t="s">
        <v>3</v>
      </c>
      <c r="C2" s="6" t="s">
        <v>3</v>
      </c>
      <c r="D2" s="6" t="s">
        <v>3</v>
      </c>
      <c r="E2" s="6"/>
      <c r="F2" s="6" t="s">
        <v>109</v>
      </c>
      <c r="G2" s="6" t="s">
        <v>109</v>
      </c>
      <c r="H2" s="6" t="s">
        <v>109</v>
      </c>
      <c r="I2" s="6"/>
      <c r="J2" s="6" t="s">
        <v>110</v>
      </c>
      <c r="K2" s="6"/>
      <c r="L2" s="6"/>
      <c r="M2" s="7"/>
      <c r="N2" s="41"/>
      <c r="P2" s="2" t="s">
        <v>4</v>
      </c>
      <c r="Q2" s="9">
        <v>25000</v>
      </c>
      <c r="S2" s="2">
        <v>52</v>
      </c>
      <c r="T2" s="2">
        <v>65</v>
      </c>
      <c r="U2" s="2">
        <v>36</v>
      </c>
      <c r="V2" s="2">
        <v>46</v>
      </c>
      <c r="W2" s="78"/>
    </row>
    <row r="3" spans="1:26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42"/>
      <c r="P3" s="2" t="s">
        <v>6</v>
      </c>
      <c r="Q3" s="2">
        <v>0.2</v>
      </c>
      <c r="S3" s="2"/>
      <c r="T3" s="2"/>
      <c r="U3" s="2"/>
      <c r="V3" s="2"/>
      <c r="W3" s="78"/>
    </row>
    <row r="4" spans="1:26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N4" s="42"/>
      <c r="P4" s="2" t="s">
        <v>8</v>
      </c>
      <c r="Q4" s="9">
        <f>Q2/Q3</f>
        <v>125000</v>
      </c>
      <c r="S4" s="78" t="s">
        <v>93</v>
      </c>
      <c r="T4" s="78"/>
      <c r="U4" s="78"/>
      <c r="V4" s="78"/>
      <c r="W4" s="2">
        <f>AVERAGE(S2:V3)</f>
        <v>49.75</v>
      </c>
    </row>
    <row r="5" spans="1:26" ht="17" x14ac:dyDescent="0.2">
      <c r="A5" s="5" t="s">
        <v>9</v>
      </c>
      <c r="B5" s="6" t="s">
        <v>108</v>
      </c>
      <c r="C5" s="6" t="s">
        <v>108</v>
      </c>
      <c r="D5" s="6" t="s">
        <v>108</v>
      </c>
      <c r="E5" s="6"/>
      <c r="F5" s="6" t="s">
        <v>99</v>
      </c>
      <c r="G5" s="6" t="s">
        <v>99</v>
      </c>
      <c r="H5" s="6" t="s">
        <v>99</v>
      </c>
      <c r="I5" s="6"/>
      <c r="J5" s="6" t="s">
        <v>111</v>
      </c>
      <c r="L5" s="6"/>
      <c r="M5" s="2"/>
      <c r="N5" s="42"/>
      <c r="P5" s="2" t="s">
        <v>10</v>
      </c>
      <c r="Q5" s="2">
        <v>12</v>
      </c>
      <c r="S5" s="78" t="s">
        <v>94</v>
      </c>
      <c r="T5" s="78"/>
      <c r="U5" s="78"/>
      <c r="V5" s="78"/>
      <c r="W5" s="2">
        <f>W4*2</f>
        <v>99.5</v>
      </c>
      <c r="Z5" s="1"/>
    </row>
    <row r="6" spans="1:26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N6" s="42"/>
      <c r="P6" s="2" t="s">
        <v>12</v>
      </c>
      <c r="Q6" s="71">
        <f>W6</f>
        <v>995000</v>
      </c>
      <c r="S6" s="78" t="s">
        <v>95</v>
      </c>
      <c r="T6" s="78"/>
      <c r="U6" s="78"/>
      <c r="V6" s="78"/>
      <c r="W6" s="9">
        <f>W5*10000</f>
        <v>995000</v>
      </c>
    </row>
    <row r="7" spans="1:26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N7" s="42"/>
      <c r="P7" s="2" t="s">
        <v>14</v>
      </c>
      <c r="Q7" s="72">
        <f>(Q5*Q4)/Q6</f>
        <v>1.5075376884422111</v>
      </c>
    </row>
    <row r="8" spans="1:26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N8" s="41"/>
      <c r="P8" s="2" t="s">
        <v>16</v>
      </c>
      <c r="Q8" s="72">
        <f>Q5-Q7</f>
        <v>10.492462311557789</v>
      </c>
      <c r="S8" s="78" t="s">
        <v>91</v>
      </c>
      <c r="T8" s="78"/>
      <c r="U8" s="78"/>
      <c r="V8" s="78"/>
      <c r="W8" s="78"/>
    </row>
    <row r="9" spans="1:26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42"/>
      <c r="P9" s="2" t="s">
        <v>18</v>
      </c>
      <c r="Q9" s="71">
        <f>W15</f>
        <v>153333.33333333334</v>
      </c>
      <c r="S9" s="2">
        <v>9</v>
      </c>
      <c r="T9" s="2">
        <v>6</v>
      </c>
      <c r="U9" s="2">
        <v>5</v>
      </c>
      <c r="V9" s="2">
        <v>7</v>
      </c>
      <c r="W9" s="78"/>
    </row>
    <row r="10" spans="1:26" x14ac:dyDescent="0.2">
      <c r="H10" s="1"/>
      <c r="P10" s="2" t="s">
        <v>19</v>
      </c>
      <c r="Q10" s="71">
        <f>Q9*0.15</f>
        <v>23000</v>
      </c>
      <c r="S10" s="2">
        <v>7</v>
      </c>
      <c r="T10" s="2">
        <v>10</v>
      </c>
      <c r="U10" s="2">
        <v>7</v>
      </c>
      <c r="V10" s="2">
        <v>12</v>
      </c>
      <c r="W10" s="78"/>
    </row>
    <row r="11" spans="1:26" x14ac:dyDescent="0.2">
      <c r="S11" s="2">
        <v>12</v>
      </c>
      <c r="T11" s="2">
        <v>8</v>
      </c>
      <c r="U11" s="2">
        <v>5</v>
      </c>
      <c r="V11" s="2">
        <v>4</v>
      </c>
      <c r="W11" s="78"/>
    </row>
    <row r="12" spans="1:26" x14ac:dyDescent="0.2">
      <c r="S12" s="2"/>
      <c r="T12" s="2"/>
      <c r="U12" s="2"/>
      <c r="V12" s="2"/>
      <c r="W12" s="78"/>
    </row>
    <row r="13" spans="1:26" x14ac:dyDescent="0.2">
      <c r="S13" s="78" t="s">
        <v>93</v>
      </c>
      <c r="T13" s="78"/>
      <c r="U13" s="78"/>
      <c r="V13" s="78"/>
      <c r="W13" s="2">
        <f>AVERAGE(S9:V12)</f>
        <v>7.666666666666667</v>
      </c>
    </row>
    <row r="14" spans="1:26" x14ac:dyDescent="0.2">
      <c r="S14" s="78" t="s">
        <v>94</v>
      </c>
      <c r="T14" s="78"/>
      <c r="U14" s="78"/>
      <c r="V14" s="78"/>
      <c r="W14" s="2">
        <f>W13*2</f>
        <v>15.333333333333334</v>
      </c>
    </row>
    <row r="15" spans="1:26" x14ac:dyDescent="0.2">
      <c r="S15" s="78" t="s">
        <v>95</v>
      </c>
      <c r="T15" s="78"/>
      <c r="U15" s="78"/>
      <c r="V15" s="78"/>
      <c r="W15" s="9">
        <f>W14*10000</f>
        <v>153333.33333333334</v>
      </c>
    </row>
    <row r="17" spans="15:25" x14ac:dyDescent="0.2">
      <c r="P17" s="4" t="s">
        <v>27</v>
      </c>
      <c r="Q17" s="4" t="s">
        <v>28</v>
      </c>
    </row>
    <row r="18" spans="15:25" x14ac:dyDescent="0.2">
      <c r="P18" s="2" t="s">
        <v>30</v>
      </c>
      <c r="Q18" s="14">
        <v>5</v>
      </c>
    </row>
    <row r="19" spans="15:25" x14ac:dyDescent="0.2">
      <c r="P19" s="2" t="s">
        <v>32</v>
      </c>
      <c r="Q19" s="15">
        <f>Q10</f>
        <v>23000</v>
      </c>
    </row>
    <row r="20" spans="15:25" x14ac:dyDescent="0.2">
      <c r="P20" s="2" t="s">
        <v>34</v>
      </c>
      <c r="Q20" s="14">
        <v>0.05</v>
      </c>
    </row>
    <row r="21" spans="15:25" ht="34" x14ac:dyDescent="0.2">
      <c r="P21" s="16" t="s">
        <v>37</v>
      </c>
      <c r="Q21" s="15">
        <f>(Q19*Q18/Q20)</f>
        <v>2300000</v>
      </c>
      <c r="Y21" s="1"/>
    </row>
    <row r="22" spans="15:25" x14ac:dyDescent="0.2">
      <c r="P22" s="2" t="s">
        <v>39</v>
      </c>
      <c r="Q22" s="15">
        <v>5810000000</v>
      </c>
    </row>
    <row r="23" spans="15:25" x14ac:dyDescent="0.2">
      <c r="P23" s="2" t="s">
        <v>40</v>
      </c>
      <c r="Q23" s="17">
        <f>Q21/Q22</f>
        <v>3.9586919104991393E-4</v>
      </c>
    </row>
    <row r="24" spans="15:25" x14ac:dyDescent="0.2">
      <c r="P24" s="2" t="s">
        <v>41</v>
      </c>
      <c r="Q24" s="18">
        <v>0.04</v>
      </c>
    </row>
    <row r="25" spans="15:25" x14ac:dyDescent="0.2">
      <c r="P25" s="2" t="s">
        <v>42</v>
      </c>
      <c r="Q25" s="19">
        <f>Q24/100</f>
        <v>4.0000000000000002E-4</v>
      </c>
    </row>
    <row r="27" spans="15:25" x14ac:dyDescent="0.2">
      <c r="O27" s="2">
        <v>1</v>
      </c>
      <c r="P27" s="2" t="s">
        <v>3</v>
      </c>
      <c r="Q27" s="2" t="s">
        <v>3</v>
      </c>
    </row>
    <row r="28" spans="15:25" x14ac:dyDescent="0.2">
      <c r="O28" s="2">
        <v>2</v>
      </c>
      <c r="P28" s="2" t="s">
        <v>100</v>
      </c>
      <c r="Q28" s="58" t="s">
        <v>102</v>
      </c>
    </row>
    <row r="29" spans="15:25" x14ac:dyDescent="0.2">
      <c r="O29" s="2">
        <v>3</v>
      </c>
      <c r="P29" s="2" t="s">
        <v>103</v>
      </c>
      <c r="Q29" s="58" t="s">
        <v>102</v>
      </c>
    </row>
    <row r="30" spans="15:25" x14ac:dyDescent="0.2">
      <c r="O30" s="2">
        <v>4</v>
      </c>
      <c r="P30" s="2" t="s">
        <v>101</v>
      </c>
      <c r="Q30" s="58" t="s">
        <v>99</v>
      </c>
    </row>
  </sheetData>
  <mergeCells count="11">
    <mergeCell ref="S13:V13"/>
    <mergeCell ref="S14:V14"/>
    <mergeCell ref="S15:V15"/>
    <mergeCell ref="W2:W3"/>
    <mergeCell ref="W9:W12"/>
    <mergeCell ref="P1:Q1"/>
    <mergeCell ref="S1:W1"/>
    <mergeCell ref="S8:W8"/>
    <mergeCell ref="S4:V4"/>
    <mergeCell ref="S5:V5"/>
    <mergeCell ref="S6:V6"/>
  </mergeCells>
  <phoneticPr fontId="6" type="noConversion"/>
  <pageMargins left="0.25" right="0.25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80" zoomScaleNormal="180" workbookViewId="0">
      <selection activeCell="C9" sqref="C9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47"/>
      <c r="B4" s="48" t="s">
        <v>20</v>
      </c>
      <c r="C4" s="47"/>
      <c r="D4" s="47"/>
    </row>
    <row r="5" spans="1:8" x14ac:dyDescent="0.2">
      <c r="A5" s="49" t="s">
        <v>21</v>
      </c>
      <c r="B5" s="49" t="s">
        <v>22</v>
      </c>
      <c r="C5" s="49" t="s">
        <v>23</v>
      </c>
      <c r="D5" s="49" t="s">
        <v>24</v>
      </c>
    </row>
    <row r="6" spans="1:8" x14ac:dyDescent="0.2">
      <c r="A6" s="50" t="s">
        <v>25</v>
      </c>
      <c r="B6" s="50">
        <v>4</v>
      </c>
      <c r="C6" s="50"/>
      <c r="D6" s="50" t="s">
        <v>104</v>
      </c>
    </row>
    <row r="7" spans="1:8" x14ac:dyDescent="0.2">
      <c r="A7" s="50" t="s">
        <v>26</v>
      </c>
      <c r="B7" s="50">
        <v>0</v>
      </c>
      <c r="C7" s="50">
        <v>8</v>
      </c>
      <c r="D7" s="50" t="s">
        <v>112</v>
      </c>
    </row>
    <row r="8" spans="1:8" x14ac:dyDescent="0.2">
      <c r="A8" s="50" t="s">
        <v>29</v>
      </c>
      <c r="B8" s="50">
        <f>4*3*2</f>
        <v>24</v>
      </c>
      <c r="C8" s="50">
        <v>0</v>
      </c>
      <c r="D8" s="50" t="s">
        <v>113</v>
      </c>
    </row>
    <row r="9" spans="1:8" ht="25" x14ac:dyDescent="0.2">
      <c r="A9" s="50" t="s">
        <v>31</v>
      </c>
      <c r="B9" s="50">
        <f>3*2</f>
        <v>6</v>
      </c>
      <c r="C9" s="50">
        <f>3*3*2</f>
        <v>18</v>
      </c>
      <c r="D9" s="51" t="s">
        <v>114</v>
      </c>
    </row>
    <row r="10" spans="1:8" x14ac:dyDescent="0.2">
      <c r="A10" s="50" t="s">
        <v>33</v>
      </c>
      <c r="B10" s="50">
        <f>SUM(B6:B9)</f>
        <v>34</v>
      </c>
      <c r="C10" s="50">
        <f>SUM(C6:C9)</f>
        <v>26</v>
      </c>
      <c r="D10" s="81" t="s">
        <v>36</v>
      </c>
    </row>
    <row r="11" spans="1:8" ht="17" thickBot="1" x14ac:dyDescent="0.25">
      <c r="A11" s="52" t="s">
        <v>35</v>
      </c>
      <c r="B11" s="52">
        <f>B10/25</f>
        <v>1.36</v>
      </c>
      <c r="C11" s="53">
        <f>C10/20</f>
        <v>1.3</v>
      </c>
      <c r="D11" s="81"/>
    </row>
    <row r="12" spans="1:8" ht="17" thickBot="1" x14ac:dyDescent="0.25">
      <c r="A12" s="54" t="s">
        <v>38</v>
      </c>
      <c r="B12" s="55">
        <f>SUM(B11:C11)</f>
        <v>2.66</v>
      </c>
      <c r="C12" s="47"/>
      <c r="D12" s="47"/>
    </row>
    <row r="27" spans="1:25" x14ac:dyDescent="0.2">
      <c r="V27" s="79" t="s">
        <v>43</v>
      </c>
      <c r="W27" s="80"/>
    </row>
    <row r="28" spans="1:25" ht="68" x14ac:dyDescent="0.2">
      <c r="S28" s="11" t="s">
        <v>44</v>
      </c>
      <c r="T28" s="11" t="s">
        <v>45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50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51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52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53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5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7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9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11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13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15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17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A1:G6"/>
  <sheetViews>
    <sheetView workbookViewId="0">
      <selection activeCell="I10" sqref="I10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26.6640625" bestFit="1" customWidth="1"/>
  </cols>
  <sheetData>
    <row r="1" spans="1:7" ht="46" customHeight="1" x14ac:dyDescent="0.25">
      <c r="A1" s="64"/>
      <c r="B1" s="64"/>
      <c r="C1" s="64"/>
      <c r="D1" s="82" t="s">
        <v>105</v>
      </c>
      <c r="E1" s="82"/>
      <c r="F1" s="64"/>
      <c r="G1" s="64"/>
    </row>
    <row r="2" spans="1:7" ht="88" x14ac:dyDescent="0.2">
      <c r="A2" s="65" t="s">
        <v>44</v>
      </c>
      <c r="B2" s="65" t="s">
        <v>45</v>
      </c>
      <c r="C2" s="66" t="s">
        <v>46</v>
      </c>
      <c r="D2" s="66" t="s">
        <v>47</v>
      </c>
      <c r="E2" s="66" t="s">
        <v>98</v>
      </c>
      <c r="F2" s="66" t="s">
        <v>49</v>
      </c>
      <c r="G2" s="66" t="s">
        <v>50</v>
      </c>
    </row>
    <row r="3" spans="1:7" ht="21" x14ac:dyDescent="0.25">
      <c r="A3" s="65">
        <v>1</v>
      </c>
      <c r="B3" s="67" t="s">
        <v>3</v>
      </c>
      <c r="C3" s="67">
        <v>1.52</v>
      </c>
      <c r="D3" s="68">
        <f>1300*0.04/C3</f>
        <v>34.210526315789473</v>
      </c>
      <c r="E3" s="68">
        <f>1300-D3</f>
        <v>1265.7894736842106</v>
      </c>
      <c r="F3" s="67">
        <v>4.8000000000000001E-2</v>
      </c>
      <c r="G3" s="69">
        <f>0.00045*1000/F3</f>
        <v>9.375</v>
      </c>
    </row>
    <row r="4" spans="1:7" ht="21" x14ac:dyDescent="0.25">
      <c r="A4" s="65">
        <v>2</v>
      </c>
      <c r="B4" s="67" t="s">
        <v>100</v>
      </c>
      <c r="C4" s="67">
        <v>2.27</v>
      </c>
      <c r="D4" s="68">
        <f t="shared" ref="D4:D6" si="0">1300*0.04/C4</f>
        <v>22.907488986784141</v>
      </c>
      <c r="E4" s="68">
        <f t="shared" ref="E4:E6" si="1">1300-D4</f>
        <v>1277.0925110132159</v>
      </c>
      <c r="F4" s="67">
        <v>5.2999999999999999E-2</v>
      </c>
      <c r="G4" s="69">
        <f t="shared" ref="G4:G6" si="2">0.00045*1000/F4</f>
        <v>8.4905660377358494</v>
      </c>
    </row>
    <row r="5" spans="1:7" ht="21" x14ac:dyDescent="0.25">
      <c r="A5" s="65">
        <v>3</v>
      </c>
      <c r="B5" s="67" t="s">
        <v>103</v>
      </c>
      <c r="C5" s="67">
        <v>1.93</v>
      </c>
      <c r="D5" s="68">
        <f t="shared" si="0"/>
        <v>26.94300518134715</v>
      </c>
      <c r="E5" s="68">
        <f t="shared" si="1"/>
        <v>1273.0569948186528</v>
      </c>
      <c r="F5" s="67">
        <v>5.0999999999999997E-2</v>
      </c>
      <c r="G5" s="69">
        <f t="shared" si="2"/>
        <v>8.8235294117647065</v>
      </c>
    </row>
    <row r="6" spans="1:7" ht="21" x14ac:dyDescent="0.25">
      <c r="A6" s="65">
        <v>4</v>
      </c>
      <c r="B6" s="67" t="s">
        <v>101</v>
      </c>
      <c r="C6" s="70">
        <v>2</v>
      </c>
      <c r="D6" s="68">
        <f t="shared" si="0"/>
        <v>26</v>
      </c>
      <c r="E6" s="68">
        <f t="shared" si="1"/>
        <v>1274</v>
      </c>
      <c r="F6" s="67">
        <v>4.4999999999999998E-2</v>
      </c>
      <c r="G6" s="69">
        <f t="shared" si="2"/>
        <v>10</v>
      </c>
    </row>
  </sheetData>
  <mergeCells count="1">
    <mergeCell ref="D1:E1"/>
  </mergeCells>
  <pageMargins left="0.25" right="0.25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19"/>
  <sheetViews>
    <sheetView showRuler="0" workbookViewId="0">
      <selection activeCell="E7" sqref="E7"/>
    </sheetView>
  </sheetViews>
  <sheetFormatPr baseColWidth="10" defaultColWidth="10.6640625" defaultRowHeight="16" x14ac:dyDescent="0.2"/>
  <cols>
    <col min="1" max="1" width="19.33203125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4" t="s">
        <v>54</v>
      </c>
      <c r="B1" s="25"/>
      <c r="C1" s="60"/>
      <c r="D1" s="85"/>
      <c r="E1" s="85"/>
      <c r="F1" s="85"/>
    </row>
    <row r="2" spans="1:15" ht="51" x14ac:dyDescent="0.2">
      <c r="A2" s="24"/>
      <c r="B2" s="26" t="s">
        <v>55</v>
      </c>
      <c r="C2" s="24">
        <v>1</v>
      </c>
      <c r="D2" s="24">
        <v>2</v>
      </c>
      <c r="E2" s="24">
        <v>3</v>
      </c>
      <c r="F2" s="27">
        <v>4</v>
      </c>
      <c r="G2" s="28" t="s">
        <v>56</v>
      </c>
      <c r="H2" s="28" t="s">
        <v>57</v>
      </c>
      <c r="I2" s="28" t="s">
        <v>58</v>
      </c>
      <c r="J2" s="28" t="s">
        <v>59</v>
      </c>
      <c r="K2" s="28" t="s">
        <v>60</v>
      </c>
      <c r="L2" s="28" t="s">
        <v>59</v>
      </c>
      <c r="M2" s="29" t="s">
        <v>61</v>
      </c>
    </row>
    <row r="3" spans="1:15" x14ac:dyDescent="0.2">
      <c r="A3" s="84" t="s">
        <v>3</v>
      </c>
      <c r="B3" s="11" t="s">
        <v>62</v>
      </c>
      <c r="C3" s="14" t="s">
        <v>63</v>
      </c>
      <c r="D3" s="14" t="s">
        <v>63</v>
      </c>
      <c r="E3" s="14" t="s">
        <v>63</v>
      </c>
      <c r="F3" s="35">
        <v>14</v>
      </c>
      <c r="G3" s="14">
        <v>1E-3</v>
      </c>
      <c r="H3" s="15">
        <f>F3/(G3*0.01)</f>
        <v>1400000</v>
      </c>
      <c r="I3" s="9">
        <f>AVERAGE(H3:H4)</f>
        <v>1850000</v>
      </c>
      <c r="J3" s="9">
        <f>STDEV(H3:H4)</f>
        <v>636396.10306789272</v>
      </c>
      <c r="K3" s="9">
        <f>I3*0.05</f>
        <v>92500</v>
      </c>
      <c r="L3" s="9">
        <f>J3*0.05</f>
        <v>31819.805153394638</v>
      </c>
      <c r="M3" s="13">
        <f>K3/$O$3</f>
        <v>4.0217391304347823</v>
      </c>
      <c r="O3" s="1">
        <v>23000</v>
      </c>
    </row>
    <row r="4" spans="1:15" x14ac:dyDescent="0.2">
      <c r="A4" s="84"/>
      <c r="B4" s="11" t="s">
        <v>64</v>
      </c>
      <c r="C4" s="14" t="s">
        <v>63</v>
      </c>
      <c r="D4" s="14" t="s">
        <v>63</v>
      </c>
      <c r="E4" s="14" t="s">
        <v>63</v>
      </c>
      <c r="F4" s="35">
        <v>23</v>
      </c>
      <c r="G4" s="14">
        <v>1E-3</v>
      </c>
      <c r="H4" s="15">
        <f t="shared" ref="H4" si="0">F4/(G4*0.01)</f>
        <v>2300000</v>
      </c>
      <c r="I4" s="9"/>
      <c r="J4" s="9"/>
      <c r="K4" s="9"/>
      <c r="L4" s="9"/>
      <c r="M4" s="13"/>
      <c r="O4" s="1"/>
    </row>
    <row r="5" spans="1:15" x14ac:dyDescent="0.2">
      <c r="A5" s="83" t="s">
        <v>100</v>
      </c>
      <c r="B5" s="61" t="s">
        <v>65</v>
      </c>
      <c r="C5" s="14" t="s">
        <v>63</v>
      </c>
      <c r="D5" s="14" t="s">
        <v>63</v>
      </c>
      <c r="E5" s="35">
        <v>72</v>
      </c>
      <c r="F5" s="14">
        <v>4</v>
      </c>
      <c r="G5" s="14">
        <v>0.01</v>
      </c>
      <c r="H5" s="15">
        <f>E5/(G5*0.01)</f>
        <v>720000</v>
      </c>
      <c r="I5" s="9">
        <f>AVERAGE(H5:H6)</f>
        <v>680000</v>
      </c>
      <c r="J5" s="9">
        <f>STDEV(H5:H6)</f>
        <v>56568.5424949238</v>
      </c>
      <c r="K5" s="9">
        <f>I5*0.05</f>
        <v>34000</v>
      </c>
      <c r="L5" s="9">
        <f>J5*0.05</f>
        <v>2828.4271247461902</v>
      </c>
      <c r="M5" s="13">
        <f>K5/$O$3</f>
        <v>1.4782608695652173</v>
      </c>
    </row>
    <row r="6" spans="1:15" x14ac:dyDescent="0.2">
      <c r="A6" s="83"/>
      <c r="B6" s="61" t="s">
        <v>66</v>
      </c>
      <c r="C6" s="14" t="s">
        <v>63</v>
      </c>
      <c r="D6" s="14" t="s">
        <v>63</v>
      </c>
      <c r="E6" s="35">
        <v>64</v>
      </c>
      <c r="F6" s="14">
        <v>10</v>
      </c>
      <c r="G6" s="14">
        <v>0.01</v>
      </c>
      <c r="H6" s="15">
        <f>E6/(G6*0.01)</f>
        <v>640000</v>
      </c>
      <c r="I6" s="22"/>
      <c r="J6" s="22"/>
      <c r="K6" s="9"/>
      <c r="L6" s="9"/>
      <c r="M6" s="13"/>
    </row>
    <row r="7" spans="1:15" x14ac:dyDescent="0.2">
      <c r="A7" s="83" t="s">
        <v>119</v>
      </c>
      <c r="B7" s="61" t="s">
        <v>67</v>
      </c>
      <c r="C7" s="14" t="s">
        <v>63</v>
      </c>
      <c r="D7" s="14" t="s">
        <v>63</v>
      </c>
      <c r="E7" s="35">
        <v>73</v>
      </c>
      <c r="F7" s="14"/>
      <c r="G7" s="14">
        <v>0.01</v>
      </c>
      <c r="H7" s="15">
        <f>E7/(G7*0.01)</f>
        <v>730000</v>
      </c>
      <c r="I7" s="9">
        <f>AVERAGE(H7:H8)</f>
        <v>685000</v>
      </c>
      <c r="J7" s="9">
        <f>STDEV(H7:H8)</f>
        <v>63639.610306789276</v>
      </c>
      <c r="K7" s="9">
        <f>I7*0.05</f>
        <v>34250</v>
      </c>
      <c r="L7" s="9">
        <f>J7*0.05</f>
        <v>3181.9805153394641</v>
      </c>
      <c r="M7" s="74">
        <f>K7/$O$3</f>
        <v>1.4891304347826086</v>
      </c>
    </row>
    <row r="8" spans="1:15" x14ac:dyDescent="0.2">
      <c r="A8" s="83"/>
      <c r="B8" s="61" t="s">
        <v>68</v>
      </c>
      <c r="C8" s="14" t="s">
        <v>63</v>
      </c>
      <c r="D8" s="14" t="s">
        <v>63</v>
      </c>
      <c r="E8" s="35">
        <v>64</v>
      </c>
      <c r="F8" s="63"/>
      <c r="G8" s="14">
        <v>0.01</v>
      </c>
      <c r="H8" s="15">
        <f>E8/(G8*0.01)</f>
        <v>640000</v>
      </c>
      <c r="I8" s="22"/>
      <c r="J8" s="22"/>
      <c r="K8" s="9"/>
      <c r="L8" s="9"/>
      <c r="M8" s="13"/>
    </row>
    <row r="9" spans="1:15" ht="16" customHeight="1" x14ac:dyDescent="0.2">
      <c r="A9" s="84" t="s">
        <v>101</v>
      </c>
      <c r="B9" s="61" t="s">
        <v>106</v>
      </c>
      <c r="C9" s="14" t="s">
        <v>63</v>
      </c>
      <c r="D9" s="14" t="s">
        <v>63</v>
      </c>
      <c r="E9" s="14" t="s">
        <v>63</v>
      </c>
      <c r="F9" s="63">
        <v>30</v>
      </c>
      <c r="G9" s="14">
        <v>1E-3</v>
      </c>
      <c r="H9" s="15">
        <f t="shared" ref="H9" si="1">F9/(G9*0.01)</f>
        <v>2999999.9999999995</v>
      </c>
      <c r="I9" s="9">
        <f>AVERAGE(H9:H10)</f>
        <v>2499999.9999999995</v>
      </c>
      <c r="J9" s="9">
        <f>STDEV(H9:H10)</f>
        <v>707106.78118654748</v>
      </c>
      <c r="K9" s="9">
        <f>I9*0.05</f>
        <v>124999.99999999999</v>
      </c>
      <c r="L9" s="9">
        <f>J9*0.05</f>
        <v>35355.339059327373</v>
      </c>
      <c r="M9" s="13">
        <f>K9/$O$3</f>
        <v>5.4347826086956514</v>
      </c>
    </row>
    <row r="10" spans="1:15" x14ac:dyDescent="0.2">
      <c r="A10" s="84"/>
      <c r="B10" s="61" t="s">
        <v>107</v>
      </c>
      <c r="C10" s="14" t="s">
        <v>63</v>
      </c>
      <c r="D10" s="14" t="s">
        <v>63</v>
      </c>
      <c r="E10" s="14" t="s">
        <v>63</v>
      </c>
      <c r="F10" s="63">
        <v>20</v>
      </c>
      <c r="G10" s="14">
        <v>1E-3</v>
      </c>
      <c r="H10" s="15">
        <f>F10/(G10*0.01)</f>
        <v>1999999.9999999998</v>
      </c>
      <c r="I10" s="22"/>
      <c r="J10" s="22"/>
      <c r="K10" s="9"/>
      <c r="L10" s="9"/>
      <c r="M10" s="13"/>
    </row>
    <row r="11" spans="1:15" x14ac:dyDescent="0.2">
      <c r="A11" s="2" t="s">
        <v>69</v>
      </c>
      <c r="B11" s="2"/>
      <c r="C11" s="2">
        <v>1</v>
      </c>
      <c r="D11" s="2">
        <v>0.1</v>
      </c>
      <c r="E11" s="2">
        <f>D11/10</f>
        <v>0.01</v>
      </c>
      <c r="F11" s="2">
        <f>E11/10</f>
        <v>1E-3</v>
      </c>
      <c r="G11" s="14"/>
    </row>
    <row r="13" spans="1:15" ht="68" x14ac:dyDescent="0.2">
      <c r="A13" s="75" t="s">
        <v>120</v>
      </c>
    </row>
    <row r="15" spans="1:15" x14ac:dyDescent="0.2">
      <c r="A15" s="2" t="s">
        <v>45</v>
      </c>
      <c r="B15" s="2" t="s">
        <v>60</v>
      </c>
      <c r="C15" s="2" t="s">
        <v>59</v>
      </c>
    </row>
    <row r="16" spans="1:15" ht="17" x14ac:dyDescent="0.2">
      <c r="A16" s="6" t="s">
        <v>3</v>
      </c>
      <c r="B16" s="9">
        <f>K3</f>
        <v>92500</v>
      </c>
      <c r="C16" s="9">
        <f>L3</f>
        <v>31819.805153394638</v>
      </c>
    </row>
    <row r="17" spans="1:3" ht="16" customHeight="1" x14ac:dyDescent="0.2">
      <c r="A17" s="6" t="s">
        <v>100</v>
      </c>
      <c r="B17" s="9">
        <f>K5</f>
        <v>34000</v>
      </c>
      <c r="C17" s="9">
        <f>L5</f>
        <v>2828.4271247461902</v>
      </c>
    </row>
    <row r="18" spans="1:3" ht="17" x14ac:dyDescent="0.2">
      <c r="A18" s="6" t="s">
        <v>103</v>
      </c>
      <c r="B18" s="9">
        <f>K7</f>
        <v>34250</v>
      </c>
      <c r="C18" s="9">
        <f>L7</f>
        <v>3181.9805153394641</v>
      </c>
    </row>
    <row r="19" spans="1:3" ht="17" x14ac:dyDescent="0.2">
      <c r="A19" s="6" t="s">
        <v>101</v>
      </c>
      <c r="B19" s="9">
        <f>K9</f>
        <v>124999.99999999999</v>
      </c>
      <c r="C19" s="9">
        <f>L9</f>
        <v>35355.339059327373</v>
      </c>
    </row>
  </sheetData>
  <mergeCells count="5">
    <mergeCell ref="A7:A8"/>
    <mergeCell ref="A9:A10"/>
    <mergeCell ref="D1:F1"/>
    <mergeCell ref="A3:A4"/>
    <mergeCell ref="A5:A6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1"/>
  <sheetViews>
    <sheetView showRuler="0" zoomScale="110" zoomScaleNormal="110" workbookViewId="0">
      <selection activeCell="C9" sqref="C9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6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5"/>
      <c r="H1" s="25"/>
      <c r="I1" s="25"/>
      <c r="J1" s="46"/>
      <c r="K1" s="31"/>
      <c r="L1" s="31"/>
      <c r="M1" s="32"/>
      <c r="N1" s="32"/>
    </row>
    <row r="2" spans="1:26" ht="51" x14ac:dyDescent="0.2">
      <c r="A2" s="24"/>
      <c r="B2" s="33" t="s">
        <v>70</v>
      </c>
      <c r="C2" s="33" t="s">
        <v>71</v>
      </c>
      <c r="D2" s="33" t="s">
        <v>72</v>
      </c>
      <c r="E2" s="29" t="s">
        <v>56</v>
      </c>
      <c r="F2" s="29" t="s">
        <v>73</v>
      </c>
      <c r="G2" s="29" t="s">
        <v>74</v>
      </c>
      <c r="H2" s="29" t="s">
        <v>75</v>
      </c>
      <c r="J2" s="30" t="s">
        <v>96</v>
      </c>
      <c r="K2" s="2"/>
      <c r="L2" s="28" t="s">
        <v>76</v>
      </c>
      <c r="M2" s="24" t="s">
        <v>77</v>
      </c>
      <c r="N2" s="34" t="s">
        <v>78</v>
      </c>
      <c r="O2" s="33" t="s">
        <v>75</v>
      </c>
      <c r="P2" s="29" t="s">
        <v>79</v>
      </c>
    </row>
    <row r="3" spans="1:26" ht="17" x14ac:dyDescent="0.2">
      <c r="A3" s="84" t="s">
        <v>3</v>
      </c>
      <c r="B3" s="11" t="s">
        <v>62</v>
      </c>
      <c r="C3" s="35">
        <v>11</v>
      </c>
      <c r="D3" s="35">
        <v>12</v>
      </c>
      <c r="E3" s="14">
        <v>1</v>
      </c>
      <c r="F3" s="22">
        <f t="shared" ref="F3:F11" si="0">AVERAGE(C3,D3)</f>
        <v>11.5</v>
      </c>
      <c r="G3" s="9">
        <f>(F3/(0.05*E3))*0.2</f>
        <v>46</v>
      </c>
      <c r="H3" s="86">
        <f>TTEST(G3:G5,G3:G5,2,2)</f>
        <v>1</v>
      </c>
      <c r="I3" s="1"/>
      <c r="J3" s="56">
        <v>1</v>
      </c>
      <c r="K3" s="6" t="s">
        <v>3</v>
      </c>
      <c r="L3" s="9">
        <f>AVERAGE(G3:G5)</f>
        <v>44</v>
      </c>
      <c r="M3" s="9">
        <f>STDEV(G3:G5)</f>
        <v>11.135528725660043</v>
      </c>
      <c r="N3" s="13">
        <v>4</v>
      </c>
      <c r="O3" s="18"/>
      <c r="P3" s="23">
        <f>IF(L3/$L$3&gt;=1,L3/$L$3,-$L$3/L3)</f>
        <v>1</v>
      </c>
      <c r="Q3" s="40"/>
      <c r="S3" s="1"/>
      <c r="U3" s="1"/>
      <c r="V3" s="1"/>
      <c r="W3" s="1"/>
      <c r="X3" s="1"/>
      <c r="Y3" s="1"/>
      <c r="Z3" s="1"/>
    </row>
    <row r="4" spans="1:26" ht="17" x14ac:dyDescent="0.2">
      <c r="A4" s="84"/>
      <c r="B4" s="11" t="s">
        <v>64</v>
      </c>
      <c r="C4" s="35">
        <v>17</v>
      </c>
      <c r="D4" s="35">
        <v>10</v>
      </c>
      <c r="E4" s="14">
        <v>1</v>
      </c>
      <c r="F4" s="22">
        <f t="shared" si="0"/>
        <v>13.5</v>
      </c>
      <c r="G4" s="9">
        <f t="shared" ref="G4:G11" si="1">(F4/(0.05*E4))*0.2</f>
        <v>54</v>
      </c>
      <c r="H4" s="86"/>
      <c r="J4" s="30">
        <v>2</v>
      </c>
      <c r="K4" s="6" t="s">
        <v>100</v>
      </c>
      <c r="L4" s="9">
        <f>AVERAGE(G6:G8)</f>
        <v>11.333333333333334</v>
      </c>
      <c r="M4" s="9">
        <f>STDEV(G6:G8)</f>
        <v>4.6188021535170067</v>
      </c>
      <c r="N4" s="13">
        <v>1.5</v>
      </c>
      <c r="O4" s="18">
        <f>TTEST(G3:G5,G6:G8,2,2)</f>
        <v>9.3544547994742246E-3</v>
      </c>
      <c r="P4" s="23">
        <f>IF(L4/$L$3&gt;=1,L4/$L$3,-$L$3/L4)</f>
        <v>-3.8823529411764706</v>
      </c>
      <c r="Q4" s="40"/>
    </row>
    <row r="5" spans="1:26" ht="17" x14ac:dyDescent="0.2">
      <c r="A5" s="84"/>
      <c r="B5" s="11" t="s">
        <v>80</v>
      </c>
      <c r="C5" s="35">
        <v>14</v>
      </c>
      <c r="D5" s="35">
        <v>2</v>
      </c>
      <c r="E5" s="14">
        <v>1</v>
      </c>
      <c r="F5" s="22">
        <f t="shared" si="0"/>
        <v>8</v>
      </c>
      <c r="G5" s="9">
        <f t="shared" si="1"/>
        <v>32</v>
      </c>
      <c r="H5" s="86"/>
      <c r="J5" s="30">
        <v>3</v>
      </c>
      <c r="K5" s="6" t="s">
        <v>103</v>
      </c>
      <c r="L5" s="9">
        <f>AVERAGE(G9:G11)</f>
        <v>48.666666666666664</v>
      </c>
      <c r="M5" s="9">
        <f>STDEV(G9:G11)</f>
        <v>32.145502536643185</v>
      </c>
      <c r="N5" s="13"/>
      <c r="O5" s="18">
        <f>TTEST(G3:G5,G9:G11,2,2)</f>
        <v>0.82386852202001881</v>
      </c>
      <c r="P5" s="23">
        <f>IF(L5/$L$3&gt;=1,L5/$L$3,-$L$3/L5)</f>
        <v>1.106060606060606</v>
      </c>
      <c r="Q5" s="40"/>
    </row>
    <row r="6" spans="1:26" ht="15" customHeight="1" x14ac:dyDescent="0.2">
      <c r="A6" s="83" t="s">
        <v>121</v>
      </c>
      <c r="B6" s="11" t="s">
        <v>65</v>
      </c>
      <c r="C6" s="35">
        <v>7</v>
      </c>
      <c r="D6" s="35">
        <v>0</v>
      </c>
      <c r="E6" s="14">
        <v>1</v>
      </c>
      <c r="F6" s="2">
        <f t="shared" si="0"/>
        <v>3.5</v>
      </c>
      <c r="G6" s="9">
        <f t="shared" si="1"/>
        <v>14</v>
      </c>
      <c r="H6" s="86">
        <f>TTEST(G6:G8,G3:G5,2,2)</f>
        <v>9.3544547994742246E-3</v>
      </c>
      <c r="J6" s="30">
        <v>4</v>
      </c>
      <c r="K6" s="6" t="s">
        <v>101</v>
      </c>
      <c r="L6" s="9">
        <f>AVERAGE(G12:G14)</f>
        <v>50.666666666666664</v>
      </c>
      <c r="M6" s="9">
        <f>STDEV(G12:G14)</f>
        <v>26.633312473917574</v>
      </c>
      <c r="N6" s="13">
        <v>5.4</v>
      </c>
      <c r="O6" s="18">
        <f>TTEST(G3:G5,G12:G14,2,2)</f>
        <v>0.70959726142999646</v>
      </c>
      <c r="P6" s="23">
        <f t="shared" ref="P6" si="2">IF(L6/$L$3&gt;=1,L6/$L$3,-$L$3/L6)</f>
        <v>1.1515151515151514</v>
      </c>
      <c r="Q6" s="40"/>
    </row>
    <row r="7" spans="1:26" ht="15" customHeight="1" x14ac:dyDescent="0.2">
      <c r="A7" s="83"/>
      <c r="B7" s="11" t="s">
        <v>66</v>
      </c>
      <c r="C7" s="35">
        <v>3</v>
      </c>
      <c r="D7" s="35">
        <v>4</v>
      </c>
      <c r="E7" s="14">
        <v>1</v>
      </c>
      <c r="F7" s="2">
        <f t="shared" si="0"/>
        <v>3.5</v>
      </c>
      <c r="G7" s="9">
        <f t="shared" si="1"/>
        <v>14</v>
      </c>
      <c r="H7" s="86"/>
      <c r="K7" s="41"/>
      <c r="L7" s="39"/>
      <c r="M7" s="39"/>
      <c r="N7" s="42"/>
      <c r="O7" s="44"/>
      <c r="P7" s="43"/>
      <c r="Q7" s="40"/>
    </row>
    <row r="8" spans="1:26" x14ac:dyDescent="0.2">
      <c r="A8" s="83"/>
      <c r="B8" s="11" t="s">
        <v>81</v>
      </c>
      <c r="C8" s="35">
        <v>0</v>
      </c>
      <c r="D8" s="35">
        <v>3</v>
      </c>
      <c r="E8" s="14">
        <v>1</v>
      </c>
      <c r="F8" s="2">
        <f t="shared" si="0"/>
        <v>1.5</v>
      </c>
      <c r="G8" s="9">
        <f t="shared" si="1"/>
        <v>6</v>
      </c>
      <c r="H8" s="86"/>
      <c r="K8" s="45"/>
      <c r="L8" s="39"/>
      <c r="M8" s="39"/>
      <c r="N8" s="42"/>
      <c r="O8" s="44"/>
      <c r="P8" s="43"/>
      <c r="Q8" s="40"/>
    </row>
    <row r="9" spans="1:26" ht="15" customHeight="1" x14ac:dyDescent="0.2">
      <c r="A9" s="83" t="s">
        <v>103</v>
      </c>
      <c r="B9" s="11" t="s">
        <v>67</v>
      </c>
      <c r="C9" s="35">
        <v>17</v>
      </c>
      <c r="D9" s="35">
        <v>14</v>
      </c>
      <c r="E9" s="14">
        <v>1</v>
      </c>
      <c r="F9" s="2">
        <f t="shared" si="0"/>
        <v>15.5</v>
      </c>
      <c r="G9" s="9">
        <f t="shared" si="1"/>
        <v>62</v>
      </c>
      <c r="H9" s="86">
        <f>TTEST(G9:G11,G3:G5,2,2)</f>
        <v>0.82386852202001881</v>
      </c>
      <c r="K9" s="41"/>
      <c r="L9" s="39"/>
      <c r="M9" s="39"/>
      <c r="N9" s="42"/>
      <c r="O9" s="44"/>
      <c r="P9" s="43"/>
      <c r="Q9" s="40"/>
    </row>
    <row r="10" spans="1:26" x14ac:dyDescent="0.2">
      <c r="A10" s="83"/>
      <c r="B10" s="11" t="s">
        <v>68</v>
      </c>
      <c r="C10" s="35">
        <v>18</v>
      </c>
      <c r="D10" s="35">
        <v>18</v>
      </c>
      <c r="E10" s="14">
        <v>1</v>
      </c>
      <c r="F10" s="2">
        <f t="shared" si="0"/>
        <v>18</v>
      </c>
      <c r="G10" s="9">
        <f t="shared" si="1"/>
        <v>72</v>
      </c>
      <c r="H10" s="86"/>
      <c r="K10" s="41"/>
      <c r="L10" s="39"/>
      <c r="M10" s="39"/>
      <c r="N10" s="42"/>
      <c r="O10" s="44"/>
      <c r="P10" s="43"/>
      <c r="Q10" s="40"/>
    </row>
    <row r="11" spans="1:26" ht="15" customHeight="1" x14ac:dyDescent="0.2">
      <c r="A11" s="83"/>
      <c r="B11" s="11" t="s">
        <v>82</v>
      </c>
      <c r="C11" s="35">
        <v>6</v>
      </c>
      <c r="D11" s="35">
        <v>0</v>
      </c>
      <c r="E11" s="14">
        <v>1</v>
      </c>
      <c r="F11" s="2">
        <f t="shared" si="0"/>
        <v>3</v>
      </c>
      <c r="G11" s="9">
        <f t="shared" si="1"/>
        <v>12</v>
      </c>
      <c r="H11" s="86"/>
      <c r="Q11" s="40"/>
    </row>
    <row r="12" spans="1:26" x14ac:dyDescent="0.2">
      <c r="A12" s="84" t="s">
        <v>101</v>
      </c>
      <c r="B12" s="11" t="s">
        <v>88</v>
      </c>
      <c r="C12" s="35">
        <v>15</v>
      </c>
      <c r="D12" s="35">
        <v>19</v>
      </c>
      <c r="E12" s="14">
        <v>1</v>
      </c>
      <c r="F12" s="2">
        <f t="shared" ref="F12:F14" si="3">AVERAGE(C12,D12)</f>
        <v>17</v>
      </c>
      <c r="G12" s="9">
        <f t="shared" ref="G12:G14" si="4">(F12/(0.05*E12))*0.2</f>
        <v>68</v>
      </c>
      <c r="H12" s="86">
        <f>TTEST(G12:G14,G3:G5,2,2)</f>
        <v>0.70959726142999646</v>
      </c>
      <c r="Q12" s="40"/>
    </row>
    <row r="13" spans="1:26" ht="15" customHeight="1" x14ac:dyDescent="0.2">
      <c r="A13" s="84"/>
      <c r="B13" s="11">
        <f>(18-3)*2</f>
        <v>30</v>
      </c>
      <c r="C13" s="35">
        <v>22</v>
      </c>
      <c r="D13" s="35">
        <v>10</v>
      </c>
      <c r="E13" s="14">
        <v>1</v>
      </c>
      <c r="F13" s="2">
        <f t="shared" si="3"/>
        <v>16</v>
      </c>
      <c r="G13" s="9">
        <f t="shared" si="4"/>
        <v>64</v>
      </c>
      <c r="H13" s="86"/>
      <c r="K13" s="41"/>
      <c r="L13" s="39"/>
      <c r="M13" s="39"/>
      <c r="N13" s="42"/>
      <c r="O13" s="44"/>
      <c r="P13" s="43"/>
      <c r="Q13" s="40"/>
    </row>
    <row r="14" spans="1:26" x14ac:dyDescent="0.2">
      <c r="A14" s="84"/>
      <c r="B14" s="11" t="s">
        <v>89</v>
      </c>
      <c r="C14" s="35">
        <v>1</v>
      </c>
      <c r="D14" s="35">
        <v>9</v>
      </c>
      <c r="E14" s="14">
        <v>1</v>
      </c>
      <c r="F14" s="2">
        <f t="shared" si="3"/>
        <v>5</v>
      </c>
      <c r="G14" s="9">
        <f t="shared" si="4"/>
        <v>20</v>
      </c>
      <c r="H14" s="86"/>
      <c r="K14" s="45"/>
      <c r="L14" s="39"/>
      <c r="M14" s="39"/>
      <c r="N14" s="42"/>
      <c r="O14" s="44"/>
      <c r="P14" s="43"/>
      <c r="Q14" s="40"/>
    </row>
    <row r="15" spans="1:26" ht="15" customHeight="1" x14ac:dyDescent="0.2">
      <c r="A15" s="36" t="s">
        <v>83</v>
      </c>
      <c r="H15" s="1"/>
      <c r="K15" s="41"/>
      <c r="L15" s="39"/>
      <c r="M15" s="39"/>
      <c r="N15" s="42"/>
      <c r="O15" s="44"/>
      <c r="P15" s="43"/>
      <c r="Q15" s="40"/>
    </row>
    <row r="16" spans="1:26" x14ac:dyDescent="0.2">
      <c r="K16" s="41"/>
      <c r="L16" s="39"/>
      <c r="M16" s="39"/>
      <c r="N16" s="42"/>
      <c r="O16" s="44"/>
      <c r="P16" s="43"/>
      <c r="Q16" s="40"/>
    </row>
    <row r="17" spans="1:26" ht="15" customHeight="1" x14ac:dyDescent="0.2">
      <c r="A17" t="s">
        <v>122</v>
      </c>
      <c r="Q17" s="40"/>
    </row>
    <row r="18" spans="1:26" ht="16" customHeight="1" x14ac:dyDescent="0.2">
      <c r="Q18" s="40"/>
    </row>
    <row r="19" spans="1:26" ht="15" customHeight="1" x14ac:dyDescent="0.2">
      <c r="J19" s="1"/>
      <c r="K19" s="1"/>
      <c r="Q19" s="40"/>
    </row>
    <row r="21" spans="1:26" ht="16" customHeight="1" x14ac:dyDescent="0.2">
      <c r="I21" s="1"/>
      <c r="Q21" s="42"/>
      <c r="S21" s="1"/>
      <c r="U21" s="1"/>
      <c r="V21" s="1"/>
      <c r="W21" s="1"/>
      <c r="X21" s="1"/>
      <c r="Y21" s="1"/>
      <c r="Z21" s="1"/>
    </row>
    <row r="22" spans="1:26" x14ac:dyDescent="0.2">
      <c r="Q22" s="42"/>
    </row>
    <row r="23" spans="1:26" x14ac:dyDescent="0.2">
      <c r="Q23" s="42"/>
    </row>
    <row r="24" spans="1:26" ht="15" customHeight="1" x14ac:dyDescent="0.2">
      <c r="Q24" s="42"/>
    </row>
    <row r="25" spans="1:26" ht="15" customHeight="1" x14ac:dyDescent="0.2"/>
    <row r="27" spans="1:26" ht="15" customHeight="1" x14ac:dyDescent="0.2"/>
    <row r="29" spans="1:26" ht="15" customHeight="1" x14ac:dyDescent="0.2"/>
    <row r="31" spans="1:26" ht="15" customHeight="1" x14ac:dyDescent="0.2"/>
  </sheetData>
  <mergeCells count="8">
    <mergeCell ref="A12:A14"/>
    <mergeCell ref="H12:H14"/>
    <mergeCell ref="A3:A5"/>
    <mergeCell ref="H3:H5"/>
    <mergeCell ref="A6:A8"/>
    <mergeCell ref="H6:H8"/>
    <mergeCell ref="A9:A11"/>
    <mergeCell ref="H9:H11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V35"/>
  <sheetViews>
    <sheetView tabSelected="1" showRuler="0" topLeftCell="A21" zoomScaleNormal="100" workbookViewId="0">
      <selection activeCell="L39" sqref="L39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.1640625" bestFit="1" customWidth="1"/>
    <col min="6" max="6" width="6" customWidth="1"/>
    <col min="7" max="9" width="6.1640625" bestFit="1" customWidth="1"/>
    <col min="10" max="10" width="6" customWidth="1"/>
    <col min="11" max="11" width="8.33203125" bestFit="1" customWidth="1"/>
    <col min="12" max="12" width="8" bestFit="1" customWidth="1"/>
    <col min="13" max="13" width="9" bestFit="1" customWidth="1"/>
    <col min="14" max="14" width="2.1640625" customWidth="1"/>
    <col min="15" max="15" width="17" bestFit="1" customWidth="1"/>
    <col min="16" max="17" width="9" bestFit="1" customWidth="1"/>
    <col min="18" max="18" width="7.83203125" bestFit="1" customWidth="1"/>
    <col min="19" max="19" width="7.33203125" bestFit="1" customWidth="1"/>
    <col min="20" max="20" width="9.33203125" bestFit="1" customWidth="1"/>
  </cols>
  <sheetData>
    <row r="1" spans="1:21" ht="19" x14ac:dyDescent="0.25">
      <c r="B1" s="89" t="s">
        <v>117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21" x14ac:dyDescent="0.2">
      <c r="A2" s="4" t="s">
        <v>0</v>
      </c>
      <c r="B2" s="4"/>
      <c r="C2" s="87" t="s">
        <v>84</v>
      </c>
      <c r="D2" s="87"/>
      <c r="E2" s="87"/>
      <c r="F2" s="73"/>
      <c r="G2" s="87" t="s">
        <v>85</v>
      </c>
      <c r="H2" s="87"/>
      <c r="I2" s="87"/>
      <c r="J2" s="25"/>
      <c r="P2" s="77" t="s">
        <v>90</v>
      </c>
      <c r="Q2" s="77"/>
      <c r="R2" s="77"/>
      <c r="S2" s="77"/>
      <c r="T2" s="77"/>
      <c r="U2" s="77"/>
    </row>
    <row r="3" spans="1:21" ht="51" x14ac:dyDescent="0.2">
      <c r="A3" s="24"/>
      <c r="B3" s="24" t="s">
        <v>70</v>
      </c>
      <c r="C3" s="24">
        <v>1</v>
      </c>
      <c r="D3" s="24">
        <v>2</v>
      </c>
      <c r="E3" s="27">
        <v>3</v>
      </c>
      <c r="F3" s="27">
        <v>4</v>
      </c>
      <c r="G3" s="24">
        <v>1</v>
      </c>
      <c r="H3" s="24">
        <v>2</v>
      </c>
      <c r="I3" s="27">
        <v>3</v>
      </c>
      <c r="J3" s="27">
        <v>4</v>
      </c>
      <c r="K3" s="34" t="s">
        <v>56</v>
      </c>
      <c r="L3" s="28" t="s">
        <v>73</v>
      </c>
      <c r="M3" s="28" t="s">
        <v>74</v>
      </c>
      <c r="N3" s="37"/>
      <c r="P3" s="2"/>
      <c r="Q3" s="28" t="s">
        <v>76</v>
      </c>
      <c r="R3" s="24" t="s">
        <v>77</v>
      </c>
      <c r="S3" s="34" t="s">
        <v>78</v>
      </c>
      <c r="T3" s="29" t="s">
        <v>86</v>
      </c>
    </row>
    <row r="4" spans="1:21" x14ac:dyDescent="0.2">
      <c r="A4" s="84" t="s">
        <v>3</v>
      </c>
      <c r="B4" s="11" t="s">
        <v>62</v>
      </c>
      <c r="C4" s="14" t="s">
        <v>63</v>
      </c>
      <c r="D4" s="14" t="s">
        <v>63</v>
      </c>
      <c r="E4" s="35">
        <v>18</v>
      </c>
      <c r="F4" s="35"/>
      <c r="G4" s="14" t="s">
        <v>63</v>
      </c>
      <c r="H4" s="14" t="s">
        <v>63</v>
      </c>
      <c r="I4" s="35">
        <v>31</v>
      </c>
      <c r="J4" s="35"/>
      <c r="K4" s="14">
        <v>0.01</v>
      </c>
      <c r="L4" s="22">
        <f>AVERAGE(E4,I4)</f>
        <v>24.5</v>
      </c>
      <c r="M4" s="9">
        <f>(L4/(0.01*K4))*0.2</f>
        <v>49000</v>
      </c>
      <c r="N4" s="1"/>
      <c r="P4" s="2" t="s">
        <v>97</v>
      </c>
      <c r="Q4" s="9">
        <f>AVERAGE(M4:M6)</f>
        <v>42333.333333333336</v>
      </c>
      <c r="R4" s="9">
        <f>STDEV(M4:M6)</f>
        <v>6110.1009266077999</v>
      </c>
      <c r="S4" s="13">
        <v>6.0810810810810807</v>
      </c>
      <c r="T4" s="2"/>
    </row>
    <row r="5" spans="1:21" x14ac:dyDescent="0.2">
      <c r="A5" s="84"/>
      <c r="B5" s="11" t="s">
        <v>64</v>
      </c>
      <c r="C5" s="14" t="s">
        <v>63</v>
      </c>
      <c r="D5" s="14" t="s">
        <v>63</v>
      </c>
      <c r="E5" s="35">
        <v>17</v>
      </c>
      <c r="F5" s="35"/>
      <c r="G5" s="14" t="s">
        <v>63</v>
      </c>
      <c r="H5" s="14" t="s">
        <v>63</v>
      </c>
      <c r="I5" s="35">
        <v>20</v>
      </c>
      <c r="J5" s="35"/>
      <c r="K5" s="14">
        <v>0.01</v>
      </c>
      <c r="L5" s="22">
        <f>AVERAGE(E5,I5)</f>
        <v>18.5</v>
      </c>
      <c r="M5" s="9">
        <f>(L5/(0.01*K5))*0.2</f>
        <v>37000</v>
      </c>
      <c r="N5" s="1"/>
      <c r="P5" s="2" t="s">
        <v>100</v>
      </c>
      <c r="Q5" s="9">
        <f>AVERAGE(M7:M9)</f>
        <v>286</v>
      </c>
      <c r="R5" s="9">
        <f>STDEV(M7:M9)</f>
        <v>252.87941790505602</v>
      </c>
      <c r="S5" s="13">
        <v>6.66023166023166</v>
      </c>
      <c r="T5" s="18" t="e">
        <f>TTEST(M4:M6,#REF!,2,2)</f>
        <v>#REF!</v>
      </c>
    </row>
    <row r="6" spans="1:21" x14ac:dyDescent="0.2">
      <c r="A6" s="84"/>
      <c r="B6" s="11" t="s">
        <v>80</v>
      </c>
      <c r="C6" s="14" t="s">
        <v>63</v>
      </c>
      <c r="D6" s="14" t="s">
        <v>63</v>
      </c>
      <c r="E6" s="35">
        <v>23</v>
      </c>
      <c r="F6" s="35"/>
      <c r="G6" s="14" t="s">
        <v>63</v>
      </c>
      <c r="H6" s="14" t="s">
        <v>63</v>
      </c>
      <c r="I6" s="35">
        <v>18</v>
      </c>
      <c r="J6" s="35"/>
      <c r="K6" s="14">
        <v>0.01</v>
      </c>
      <c r="L6" s="22">
        <f>AVERAGE(E6,I6)</f>
        <v>20.5</v>
      </c>
      <c r="M6" s="9">
        <f>(L6/(0.01*K6))*0.2</f>
        <v>41000</v>
      </c>
      <c r="N6" s="1"/>
      <c r="P6" s="2" t="s">
        <v>103</v>
      </c>
      <c r="Q6" s="9">
        <f>AVERAGE(M10:M12)</f>
        <v>39.333333333333336</v>
      </c>
      <c r="R6" s="9">
        <f>STDEV(M10:M12)</f>
        <v>53.304158687041799</v>
      </c>
      <c r="S6" s="42"/>
      <c r="T6" s="42"/>
      <c r="U6" s="43"/>
    </row>
    <row r="7" spans="1:21" ht="15" customHeight="1" x14ac:dyDescent="0.2">
      <c r="A7" s="83" t="s">
        <v>100</v>
      </c>
      <c r="B7" s="61" t="s">
        <v>65</v>
      </c>
      <c r="C7" s="14">
        <v>94</v>
      </c>
      <c r="D7" s="35">
        <v>9</v>
      </c>
      <c r="E7" s="35"/>
      <c r="F7" s="35"/>
      <c r="G7" s="14" t="s">
        <v>63</v>
      </c>
      <c r="H7" s="35">
        <v>15</v>
      </c>
      <c r="I7" s="35"/>
      <c r="J7" s="35"/>
      <c r="K7" s="14">
        <v>0.1</v>
      </c>
      <c r="L7" s="22">
        <f>AVERAGE(D7,H7)</f>
        <v>12</v>
      </c>
      <c r="M7" s="9">
        <f>(L7/(0.05*K7))*0.2</f>
        <v>479.99999999999994</v>
      </c>
      <c r="N7" s="1"/>
      <c r="P7" s="2" t="s">
        <v>101</v>
      </c>
      <c r="Q7" s="9">
        <f>AVERAGE(M13:M15)</f>
        <v>0</v>
      </c>
      <c r="R7" s="9">
        <f>STDEV(M13:M15)</f>
        <v>0</v>
      </c>
      <c r="S7" s="42"/>
      <c r="T7" s="44"/>
      <c r="U7" s="43"/>
    </row>
    <row r="8" spans="1:21" ht="15" customHeight="1" x14ac:dyDescent="0.2">
      <c r="A8" s="83"/>
      <c r="B8" s="61" t="s">
        <v>66</v>
      </c>
      <c r="C8" s="35">
        <v>0</v>
      </c>
      <c r="D8" s="35"/>
      <c r="E8" s="35"/>
      <c r="F8" s="35"/>
      <c r="G8" s="35">
        <v>0</v>
      </c>
      <c r="H8" s="35"/>
      <c r="I8" s="35"/>
      <c r="J8" s="35"/>
      <c r="K8" s="14">
        <v>1</v>
      </c>
      <c r="L8" s="22">
        <f>AVERAGE(C8,G8)</f>
        <v>0</v>
      </c>
      <c r="M8" s="9">
        <f t="shared" ref="M8" si="0">(L8/(0.05*K8))*0.2</f>
        <v>0</v>
      </c>
      <c r="N8" s="1"/>
    </row>
    <row r="9" spans="1:21" ht="15" customHeight="1" x14ac:dyDescent="0.2">
      <c r="A9" s="83"/>
      <c r="B9" s="61" t="s">
        <v>81</v>
      </c>
      <c r="C9" s="35">
        <v>132</v>
      </c>
      <c r="D9" s="76">
        <v>10</v>
      </c>
      <c r="E9" s="35"/>
      <c r="F9" s="35"/>
      <c r="G9" s="35">
        <v>57</v>
      </c>
      <c r="H9" s="35"/>
      <c r="I9" s="35"/>
      <c r="J9" s="35"/>
      <c r="K9" s="14">
        <v>1</v>
      </c>
      <c r="L9" s="22">
        <f>AVERAGE(C9,G9)</f>
        <v>94.5</v>
      </c>
      <c r="M9" s="9">
        <f t="shared" ref="M9" si="1">(L9/(0.05*K9))*0.2</f>
        <v>378</v>
      </c>
      <c r="N9" s="1"/>
    </row>
    <row r="10" spans="1:21" ht="16" customHeight="1" x14ac:dyDescent="0.2">
      <c r="A10" s="83" t="s">
        <v>103</v>
      </c>
      <c r="B10" s="61" t="s">
        <v>67</v>
      </c>
      <c r="C10" s="35">
        <v>20</v>
      </c>
      <c r="D10" s="14"/>
      <c r="E10" s="35"/>
      <c r="F10" s="35"/>
      <c r="G10" s="38">
        <v>30</v>
      </c>
      <c r="H10" s="14"/>
      <c r="I10" s="35"/>
      <c r="J10" s="35"/>
      <c r="K10" s="14">
        <v>1</v>
      </c>
      <c r="L10" s="2">
        <f t="shared" ref="L10:L15" si="2">AVERAGE(C10,G10)</f>
        <v>25</v>
      </c>
      <c r="M10" s="9">
        <f t="shared" ref="M10:M15" si="3">(L10/(0.05*K10))*0.2</f>
        <v>100</v>
      </c>
      <c r="N10" s="1"/>
      <c r="O10" s="42"/>
      <c r="P10" s="42"/>
      <c r="Q10" s="42"/>
      <c r="R10" s="42"/>
      <c r="S10" s="42"/>
      <c r="T10" s="42"/>
    </row>
    <row r="11" spans="1:21" x14ac:dyDescent="0.2">
      <c r="A11" s="83"/>
      <c r="B11" s="61" t="s">
        <v>68</v>
      </c>
      <c r="C11" s="35">
        <v>0</v>
      </c>
      <c r="D11" s="35"/>
      <c r="E11" s="35"/>
      <c r="F11" s="35"/>
      <c r="G11" s="35">
        <v>0</v>
      </c>
      <c r="H11" s="35"/>
      <c r="I11" s="35"/>
      <c r="J11" s="35"/>
      <c r="K11" s="14">
        <v>1</v>
      </c>
      <c r="L11" s="2">
        <f t="shared" si="2"/>
        <v>0</v>
      </c>
      <c r="M11" s="9">
        <f t="shared" si="3"/>
        <v>0</v>
      </c>
      <c r="N11" s="1"/>
      <c r="O11" s="42"/>
      <c r="P11" s="42"/>
      <c r="Q11" s="42"/>
      <c r="R11" s="42"/>
      <c r="S11" s="42"/>
      <c r="T11" s="42"/>
    </row>
    <row r="12" spans="1:21" x14ac:dyDescent="0.2">
      <c r="A12" s="83"/>
      <c r="B12" s="61" t="s">
        <v>82</v>
      </c>
      <c r="C12" s="35">
        <v>9</v>
      </c>
      <c r="D12" s="35"/>
      <c r="E12" s="35"/>
      <c r="F12" s="35"/>
      <c r="G12" s="35">
        <v>0</v>
      </c>
      <c r="H12" s="35"/>
      <c r="I12" s="35"/>
      <c r="J12" s="35"/>
      <c r="K12" s="14">
        <v>1</v>
      </c>
      <c r="L12" s="2">
        <f t="shared" si="2"/>
        <v>4.5</v>
      </c>
      <c r="M12" s="9">
        <f t="shared" si="3"/>
        <v>18</v>
      </c>
      <c r="N12" s="1"/>
      <c r="O12" s="42"/>
      <c r="P12" s="42"/>
      <c r="Q12" s="42"/>
      <c r="R12" s="42"/>
      <c r="S12" s="42"/>
      <c r="T12" s="42"/>
    </row>
    <row r="13" spans="1:21" x14ac:dyDescent="0.2">
      <c r="A13" s="84" t="s">
        <v>116</v>
      </c>
      <c r="B13" s="61" t="s">
        <v>106</v>
      </c>
      <c r="C13" s="35">
        <v>0</v>
      </c>
      <c r="D13" s="35"/>
      <c r="E13" s="35"/>
      <c r="F13" s="35"/>
      <c r="G13" s="35">
        <v>0</v>
      </c>
      <c r="H13" s="35"/>
      <c r="I13" s="35"/>
      <c r="J13" s="35"/>
      <c r="K13" s="14">
        <v>1</v>
      </c>
      <c r="L13" s="2">
        <f t="shared" si="2"/>
        <v>0</v>
      </c>
      <c r="M13" s="9">
        <f t="shared" si="3"/>
        <v>0</v>
      </c>
      <c r="N13" s="1"/>
      <c r="O13" s="42"/>
      <c r="P13" s="42"/>
      <c r="Q13" s="42"/>
      <c r="R13" s="42"/>
      <c r="S13" s="42"/>
      <c r="T13" s="42"/>
    </row>
    <row r="14" spans="1:21" x14ac:dyDescent="0.2">
      <c r="A14" s="84"/>
      <c r="B14" s="61" t="s">
        <v>107</v>
      </c>
      <c r="C14" s="35">
        <v>0</v>
      </c>
      <c r="D14" s="35"/>
      <c r="E14" s="35"/>
      <c r="F14" s="35"/>
      <c r="G14" s="35">
        <v>0</v>
      </c>
      <c r="H14" s="35"/>
      <c r="I14" s="35"/>
      <c r="J14" s="35"/>
      <c r="K14" s="14">
        <v>1</v>
      </c>
      <c r="L14" s="2">
        <f t="shared" si="2"/>
        <v>0</v>
      </c>
      <c r="M14" s="9">
        <f t="shared" si="3"/>
        <v>0</v>
      </c>
      <c r="N14" s="1"/>
      <c r="O14" s="42"/>
      <c r="P14" s="42"/>
      <c r="Q14" s="42"/>
      <c r="R14" s="42"/>
      <c r="S14" s="42"/>
      <c r="T14" s="42"/>
    </row>
    <row r="15" spans="1:21" x14ac:dyDescent="0.2">
      <c r="A15" s="84"/>
      <c r="B15" s="61" t="s">
        <v>115</v>
      </c>
      <c r="C15" s="35">
        <v>0</v>
      </c>
      <c r="D15" s="35"/>
      <c r="E15" s="35"/>
      <c r="F15" s="35"/>
      <c r="G15" s="35">
        <v>0</v>
      </c>
      <c r="H15" s="35"/>
      <c r="I15" s="35"/>
      <c r="J15" s="35"/>
      <c r="K15" s="14">
        <v>1</v>
      </c>
      <c r="L15" s="2">
        <f t="shared" si="2"/>
        <v>0</v>
      </c>
      <c r="M15" s="9">
        <f t="shared" si="3"/>
        <v>0</v>
      </c>
      <c r="N15" s="1"/>
      <c r="O15" s="42"/>
      <c r="P15" s="42"/>
      <c r="Q15" s="42"/>
      <c r="R15" s="42"/>
      <c r="S15" s="42"/>
      <c r="T15" s="42"/>
    </row>
    <row r="16" spans="1:21" ht="15" customHeight="1" x14ac:dyDescent="0.2">
      <c r="A16" s="62" t="s">
        <v>69</v>
      </c>
      <c r="B16" s="2"/>
      <c r="C16" s="2">
        <v>1</v>
      </c>
      <c r="D16" s="2">
        <f>C16/10</f>
        <v>0.1</v>
      </c>
      <c r="E16" s="2">
        <f>D16/10</f>
        <v>0.01</v>
      </c>
      <c r="F16" s="2">
        <v>1E-3</v>
      </c>
      <c r="G16" s="2">
        <v>1</v>
      </c>
      <c r="H16" s="2">
        <f>G16/10</f>
        <v>0.1</v>
      </c>
      <c r="I16" s="2">
        <f>H16/10</f>
        <v>0.01</v>
      </c>
      <c r="J16">
        <v>1E-3</v>
      </c>
      <c r="M16" s="1"/>
      <c r="N16" s="1"/>
      <c r="O16" s="41"/>
      <c r="P16" s="39"/>
      <c r="Q16" s="39"/>
      <c r="R16" s="42"/>
      <c r="S16" s="42"/>
      <c r="T16" s="43"/>
    </row>
    <row r="17" spans="1:22" x14ac:dyDescent="0.2">
      <c r="A17" s="88" t="s">
        <v>87</v>
      </c>
      <c r="B17" s="88"/>
      <c r="C17" s="88"/>
      <c r="N17" s="1"/>
      <c r="O17" s="41"/>
      <c r="P17" s="39"/>
      <c r="Q17" s="39"/>
      <c r="R17" s="42"/>
      <c r="S17" s="44"/>
      <c r="T17" s="43"/>
    </row>
    <row r="18" spans="1:22" ht="15" customHeight="1" x14ac:dyDescent="0.2">
      <c r="D18" s="36"/>
      <c r="N18" s="1"/>
      <c r="O18" s="41"/>
      <c r="P18" s="39"/>
      <c r="Q18" s="39"/>
      <c r="R18" s="42"/>
      <c r="S18" s="44"/>
      <c r="T18" s="43"/>
    </row>
    <row r="19" spans="1:22" ht="19" x14ac:dyDescent="0.25">
      <c r="B19" s="89" t="s">
        <v>118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1"/>
      <c r="O19" s="41"/>
      <c r="P19" s="39"/>
      <c r="Q19" s="39"/>
      <c r="R19" s="42"/>
      <c r="S19" s="44"/>
      <c r="T19" s="43"/>
      <c r="V19" s="1"/>
    </row>
    <row r="20" spans="1:22" ht="15" customHeight="1" x14ac:dyDescent="0.2">
      <c r="A20" s="4" t="s">
        <v>0</v>
      </c>
      <c r="B20" s="4"/>
      <c r="C20" s="87" t="s">
        <v>84</v>
      </c>
      <c r="D20" s="87"/>
      <c r="E20" s="87"/>
      <c r="F20" s="73"/>
      <c r="G20" s="87" t="s">
        <v>85</v>
      </c>
      <c r="H20" s="87"/>
      <c r="I20" s="87"/>
      <c r="J20" s="59"/>
      <c r="N20" s="1"/>
      <c r="O20" s="42"/>
      <c r="P20" s="42"/>
      <c r="Q20" s="42"/>
      <c r="R20" s="42"/>
      <c r="S20" s="42"/>
      <c r="T20" s="42"/>
    </row>
    <row r="21" spans="1:22" ht="51" x14ac:dyDescent="0.2">
      <c r="A21" s="24"/>
      <c r="B21" s="24" t="s">
        <v>70</v>
      </c>
      <c r="C21" s="24">
        <v>1</v>
      </c>
      <c r="D21" s="24">
        <v>2</v>
      </c>
      <c r="E21" s="27">
        <v>3</v>
      </c>
      <c r="F21" s="27">
        <v>4</v>
      </c>
      <c r="G21" s="24">
        <v>1</v>
      </c>
      <c r="H21" s="24">
        <v>2</v>
      </c>
      <c r="I21" s="27">
        <v>3</v>
      </c>
      <c r="J21" s="27">
        <v>4</v>
      </c>
      <c r="K21" s="34" t="s">
        <v>56</v>
      </c>
      <c r="L21" s="28" t="s">
        <v>73</v>
      </c>
      <c r="M21" s="28" t="s">
        <v>74</v>
      </c>
      <c r="N21" s="1"/>
      <c r="O21" s="42"/>
      <c r="P21" s="42"/>
      <c r="Q21" s="42"/>
      <c r="R21" s="42"/>
      <c r="S21" s="42"/>
      <c r="T21" s="42"/>
    </row>
    <row r="22" spans="1:22" x14ac:dyDescent="0.2">
      <c r="A22" s="84" t="s">
        <v>3</v>
      </c>
      <c r="B22" s="11" t="s">
        <v>62</v>
      </c>
      <c r="C22" s="14" t="s">
        <v>63</v>
      </c>
      <c r="D22" s="14" t="s">
        <v>63</v>
      </c>
      <c r="E22" s="35">
        <v>27</v>
      </c>
      <c r="F22" s="35"/>
      <c r="G22" s="14" t="s">
        <v>63</v>
      </c>
      <c r="H22" s="14" t="s">
        <v>63</v>
      </c>
      <c r="I22" s="35">
        <v>20</v>
      </c>
      <c r="J22" s="35"/>
      <c r="K22" s="14">
        <v>0.01</v>
      </c>
      <c r="L22" s="22">
        <f>AVERAGE(E22,I22)</f>
        <v>23.5</v>
      </c>
      <c r="M22" s="9">
        <f>(L22/(0.01*K22))*0.2</f>
        <v>47000</v>
      </c>
      <c r="N22" s="1"/>
    </row>
    <row r="23" spans="1:22" x14ac:dyDescent="0.2">
      <c r="A23" s="84"/>
      <c r="B23" s="11" t="s">
        <v>64</v>
      </c>
      <c r="C23" s="14" t="s">
        <v>63</v>
      </c>
      <c r="D23" s="14" t="s">
        <v>63</v>
      </c>
      <c r="E23" s="35">
        <v>17</v>
      </c>
      <c r="F23" s="35"/>
      <c r="G23" s="14" t="s">
        <v>63</v>
      </c>
      <c r="H23" s="14" t="s">
        <v>63</v>
      </c>
      <c r="I23" s="35">
        <v>21</v>
      </c>
      <c r="J23" s="35"/>
      <c r="K23" s="14">
        <v>0.01</v>
      </c>
      <c r="L23" s="22">
        <f>AVERAGE(E23,I23)</f>
        <v>19</v>
      </c>
      <c r="M23" s="9">
        <f>(L23/(0.01*K23))*0.2</f>
        <v>38000</v>
      </c>
      <c r="N23" s="1"/>
    </row>
    <row r="24" spans="1:22" x14ac:dyDescent="0.2">
      <c r="A24" s="84"/>
      <c r="B24" s="11" t="s">
        <v>80</v>
      </c>
      <c r="C24" s="14" t="s">
        <v>63</v>
      </c>
      <c r="D24" s="14" t="s">
        <v>63</v>
      </c>
      <c r="E24" s="35">
        <v>24</v>
      </c>
      <c r="F24" s="35"/>
      <c r="G24" s="14" t="s">
        <v>63</v>
      </c>
      <c r="H24" s="14" t="s">
        <v>63</v>
      </c>
      <c r="I24" s="35">
        <v>25</v>
      </c>
      <c r="J24" s="35"/>
      <c r="K24" s="14">
        <v>0.01</v>
      </c>
      <c r="L24" s="22">
        <f>AVERAGE(E24,I24)</f>
        <v>24.5</v>
      </c>
      <c r="M24" s="9">
        <f>(L24/(0.01*K24))*0.2</f>
        <v>49000</v>
      </c>
      <c r="N24" s="1"/>
    </row>
    <row r="25" spans="1:22" x14ac:dyDescent="0.2">
      <c r="A25" s="83" t="s">
        <v>100</v>
      </c>
      <c r="B25" s="61" t="s">
        <v>65</v>
      </c>
      <c r="C25" s="14">
        <v>92</v>
      </c>
      <c r="D25" s="35">
        <v>10</v>
      </c>
      <c r="E25" s="35"/>
      <c r="F25" s="35"/>
      <c r="G25" s="14">
        <v>90</v>
      </c>
      <c r="H25" s="35">
        <v>16</v>
      </c>
      <c r="I25" s="35"/>
      <c r="J25" s="35"/>
      <c r="K25" s="14">
        <v>0.1</v>
      </c>
      <c r="L25" s="22">
        <f>AVERAGE(D25,H25)</f>
        <v>13</v>
      </c>
      <c r="M25" s="9">
        <f>(L25/(0.05*K25))*0.2</f>
        <v>519.99999999999989</v>
      </c>
      <c r="N25" s="1"/>
    </row>
    <row r="26" spans="1:22" ht="15" customHeight="1" x14ac:dyDescent="0.2">
      <c r="A26" s="83"/>
      <c r="B26" s="61" t="s">
        <v>66</v>
      </c>
      <c r="C26" s="14"/>
      <c r="D26" s="35">
        <v>16</v>
      </c>
      <c r="E26" s="35"/>
      <c r="F26" s="35"/>
      <c r="G26" s="14"/>
      <c r="H26" s="35">
        <v>20</v>
      </c>
      <c r="I26" s="35"/>
      <c r="J26" s="35"/>
      <c r="K26" s="14">
        <v>0.1</v>
      </c>
      <c r="L26" s="22">
        <f>AVERAGE(D26,H26)</f>
        <v>18</v>
      </c>
      <c r="M26" s="9">
        <f t="shared" ref="M26:M27" si="4">(L26/(0.05*K26))*0.2</f>
        <v>719.99999999999989</v>
      </c>
      <c r="N26" s="1"/>
    </row>
    <row r="27" spans="1:22" ht="16" customHeight="1" x14ac:dyDescent="0.2">
      <c r="A27" s="83"/>
      <c r="B27" s="61" t="s">
        <v>81</v>
      </c>
      <c r="C27" s="35">
        <v>69</v>
      </c>
      <c r="D27" s="35"/>
      <c r="E27" s="35"/>
      <c r="F27" s="35"/>
      <c r="G27" s="14">
        <v>0</v>
      </c>
      <c r="H27" s="35"/>
      <c r="I27" s="35"/>
      <c r="J27" s="35"/>
      <c r="K27" s="14">
        <v>1</v>
      </c>
      <c r="L27" s="2">
        <f t="shared" ref="L27" si="5">AVERAGE(C27,G27)</f>
        <v>34.5</v>
      </c>
      <c r="M27" s="9">
        <f t="shared" si="4"/>
        <v>138</v>
      </c>
      <c r="N27" s="1"/>
    </row>
    <row r="28" spans="1:22" ht="15" customHeight="1" x14ac:dyDescent="0.2">
      <c r="A28" s="83" t="s">
        <v>103</v>
      </c>
      <c r="B28" s="61" t="s">
        <v>67</v>
      </c>
      <c r="C28" s="35">
        <v>28</v>
      </c>
      <c r="D28" s="14"/>
      <c r="E28" s="35"/>
      <c r="F28" s="35"/>
      <c r="G28" s="38">
        <v>10</v>
      </c>
      <c r="H28" s="14"/>
      <c r="I28" s="35"/>
      <c r="J28" s="35"/>
      <c r="K28" s="14">
        <v>1</v>
      </c>
      <c r="L28" s="2">
        <f t="shared" ref="L28:L33" si="6">AVERAGE(C28,G28)</f>
        <v>19</v>
      </c>
      <c r="M28" s="9">
        <f t="shared" ref="M28:M33" si="7">(L28/(0.05*K28))*0.2</f>
        <v>76</v>
      </c>
      <c r="N28" s="1"/>
    </row>
    <row r="29" spans="1:22" x14ac:dyDescent="0.2">
      <c r="A29" s="83"/>
      <c r="B29" s="61" t="s">
        <v>68</v>
      </c>
      <c r="C29" s="35">
        <v>53</v>
      </c>
      <c r="D29" s="35"/>
      <c r="E29" s="35"/>
      <c r="F29" s="35"/>
      <c r="G29" s="35">
        <v>0</v>
      </c>
      <c r="H29" s="35"/>
      <c r="I29" s="35"/>
      <c r="J29" s="35"/>
      <c r="K29" s="14">
        <v>1</v>
      </c>
      <c r="L29" s="2">
        <f t="shared" si="6"/>
        <v>26.5</v>
      </c>
      <c r="M29" s="9">
        <f t="shared" si="7"/>
        <v>106</v>
      </c>
      <c r="N29" s="1"/>
    </row>
    <row r="30" spans="1:22" x14ac:dyDescent="0.2">
      <c r="A30" s="83"/>
      <c r="B30" s="61" t="s">
        <v>82</v>
      </c>
      <c r="C30" s="35">
        <v>13</v>
      </c>
      <c r="D30" s="35"/>
      <c r="E30" s="35"/>
      <c r="F30" s="35"/>
      <c r="G30" s="35">
        <v>2</v>
      </c>
      <c r="H30" s="35"/>
      <c r="I30" s="35"/>
      <c r="J30" s="35"/>
      <c r="K30" s="14">
        <v>1</v>
      </c>
      <c r="L30" s="2">
        <f t="shared" si="6"/>
        <v>7.5</v>
      </c>
      <c r="M30" s="9">
        <f t="shared" si="7"/>
        <v>30</v>
      </c>
      <c r="N30" s="1"/>
    </row>
    <row r="31" spans="1:22" x14ac:dyDescent="0.2">
      <c r="A31" s="84" t="s">
        <v>116</v>
      </c>
      <c r="B31" s="61" t="s">
        <v>106</v>
      </c>
      <c r="C31" s="35">
        <v>0</v>
      </c>
      <c r="D31" s="35"/>
      <c r="E31" s="35"/>
      <c r="F31" s="35"/>
      <c r="G31" s="35">
        <v>0</v>
      </c>
      <c r="H31" s="35"/>
      <c r="I31" s="35"/>
      <c r="J31" s="35"/>
      <c r="K31" s="14">
        <v>1</v>
      </c>
      <c r="L31" s="2">
        <f t="shared" si="6"/>
        <v>0</v>
      </c>
      <c r="M31" s="9">
        <f t="shared" si="7"/>
        <v>0</v>
      </c>
      <c r="N31" s="1"/>
    </row>
    <row r="32" spans="1:22" x14ac:dyDescent="0.2">
      <c r="A32" s="84"/>
      <c r="B32" s="61" t="s">
        <v>107</v>
      </c>
      <c r="C32" s="35">
        <v>0</v>
      </c>
      <c r="D32" s="35"/>
      <c r="E32" s="35"/>
      <c r="F32" s="35"/>
      <c r="G32" s="35">
        <v>0</v>
      </c>
      <c r="H32" s="35"/>
      <c r="I32" s="35"/>
      <c r="J32" s="35"/>
      <c r="K32" s="14">
        <v>1</v>
      </c>
      <c r="L32" s="2">
        <f t="shared" si="6"/>
        <v>0</v>
      </c>
      <c r="M32" s="9">
        <f t="shared" si="7"/>
        <v>0</v>
      </c>
      <c r="N32" s="1"/>
    </row>
    <row r="33" spans="1:13" x14ac:dyDescent="0.2">
      <c r="A33" s="84"/>
      <c r="B33" s="61" t="s">
        <v>115</v>
      </c>
      <c r="C33" s="35">
        <v>0</v>
      </c>
      <c r="D33" s="35"/>
      <c r="E33" s="35"/>
      <c r="F33" s="35"/>
      <c r="G33" s="35">
        <v>0</v>
      </c>
      <c r="H33" s="35"/>
      <c r="I33" s="35"/>
      <c r="J33" s="35"/>
      <c r="K33" s="14">
        <v>1</v>
      </c>
      <c r="L33" s="2">
        <f t="shared" si="6"/>
        <v>0</v>
      </c>
      <c r="M33" s="9">
        <f t="shared" si="7"/>
        <v>0</v>
      </c>
    </row>
    <row r="34" spans="1:13" x14ac:dyDescent="0.2">
      <c r="A34" s="62" t="s">
        <v>69</v>
      </c>
      <c r="B34" s="2"/>
      <c r="C34" s="2">
        <v>1</v>
      </c>
      <c r="D34" s="2">
        <f>C34/10</f>
        <v>0.1</v>
      </c>
      <c r="E34" s="2">
        <f>D34/10</f>
        <v>0.01</v>
      </c>
      <c r="F34" s="2">
        <v>1E-3</v>
      </c>
      <c r="G34" s="2">
        <v>1</v>
      </c>
      <c r="H34" s="2">
        <f>G34/10</f>
        <v>0.1</v>
      </c>
      <c r="I34" s="2">
        <f>H34/10</f>
        <v>0.01</v>
      </c>
      <c r="J34">
        <v>1E-3</v>
      </c>
      <c r="M34" s="1"/>
    </row>
    <row r="35" spans="1:13" x14ac:dyDescent="0.2">
      <c r="A35" s="88" t="s">
        <v>87</v>
      </c>
      <c r="B35" s="88"/>
      <c r="C35" s="88"/>
    </row>
  </sheetData>
  <mergeCells count="17">
    <mergeCell ref="B1:M1"/>
    <mergeCell ref="B19:M19"/>
    <mergeCell ref="G20:I20"/>
    <mergeCell ref="A22:A24"/>
    <mergeCell ref="A25:A27"/>
    <mergeCell ref="A4:A6"/>
    <mergeCell ref="A7:A9"/>
    <mergeCell ref="A17:C17"/>
    <mergeCell ref="A10:A12"/>
    <mergeCell ref="A13:A15"/>
    <mergeCell ref="C20:E20"/>
    <mergeCell ref="P2:U2"/>
    <mergeCell ref="C2:E2"/>
    <mergeCell ref="G2:I2"/>
    <mergeCell ref="A35:C35"/>
    <mergeCell ref="A28:A30"/>
    <mergeCell ref="A31:A33"/>
  </mergeCells>
  <pageMargins left="0.75" right="0.75" top="1" bottom="1" header="0.5" footer="0.5"/>
  <pageSetup scale="1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PlateSetup</vt:lpstr>
      <vt:lpstr>PlatePlanning</vt:lpstr>
      <vt:lpstr>BacteriaCalcs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2021-04-26T22:02:24Z</cp:lastPrinted>
  <dcterms:created xsi:type="dcterms:W3CDTF">2019-06-17T19:44:26Z</dcterms:created>
  <dcterms:modified xsi:type="dcterms:W3CDTF">2021-05-11T20:39:49Z</dcterms:modified>
</cp:coreProperties>
</file>