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Macrophage/"/>
    </mc:Choice>
  </mc:AlternateContent>
  <xr:revisionPtr revIDLastSave="0" documentId="13_ncr:1_{28F90AC8-155E-764E-A47E-6797976BE893}" xr6:coauthVersionLast="46" xr6:coauthVersionMax="46" xr10:uidLastSave="{00000000-0000-0000-0000-000000000000}"/>
  <bookViews>
    <workbookView xWindow="38840" yWindow="1260" windowWidth="27880" windowHeight="15560" activeTab="1" xr2:uid="{205ACA2F-8ED2-DB48-97DD-6C35F8214E47}"/>
  </bookViews>
  <sheets>
    <sheet name="PlateSetup" sheetId="6" r:id="rId1"/>
    <sheet name="T=24" sheetId="5" r:id="rId2"/>
    <sheet name="BacteriaCalcs" sheetId="2" r:id="rId3"/>
    <sheet name="Inoculum" sheetId="3" r:id="rId4"/>
    <sheet name="Inoc_Dilution" sheetId="7" r:id="rId5"/>
    <sheet name="T=2" sheetId="4" r:id="rId6"/>
    <sheet name="Sheet1" sheetId="8" r:id="rId7"/>
    <sheet name="PlatePlanning" sheetId="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5" l="1"/>
  <c r="J12" i="5"/>
  <c r="J9" i="5"/>
  <c r="C29" i="3" l="1"/>
  <c r="C28" i="3"/>
  <c r="B29" i="3"/>
  <c r="B28" i="3"/>
  <c r="B27" i="3"/>
  <c r="B26" i="3"/>
  <c r="B25" i="3"/>
  <c r="B24" i="3"/>
  <c r="B23" i="3"/>
  <c r="B22" i="3"/>
  <c r="D29" i="3"/>
  <c r="D28" i="3"/>
  <c r="D27" i="3"/>
  <c r="D26" i="3"/>
  <c r="D25" i="3"/>
  <c r="D24" i="3"/>
  <c r="D23" i="3"/>
  <c r="D22" i="3"/>
  <c r="K8" i="5"/>
  <c r="K10" i="5"/>
  <c r="K13" i="5"/>
  <c r="K3" i="5"/>
  <c r="L17" i="3"/>
  <c r="L15" i="3"/>
  <c r="L13" i="3"/>
  <c r="L11" i="3"/>
  <c r="L9" i="3"/>
  <c r="L7" i="3"/>
  <c r="L5" i="3"/>
  <c r="L3" i="3"/>
  <c r="K17" i="3"/>
  <c r="K15" i="3"/>
  <c r="J17" i="3"/>
  <c r="J15" i="3"/>
  <c r="J3" i="3"/>
  <c r="I17" i="3"/>
  <c r="I15" i="3"/>
  <c r="I13" i="3"/>
  <c r="I11" i="3"/>
  <c r="I9" i="3"/>
  <c r="I7" i="3"/>
  <c r="I5" i="3"/>
  <c r="I3" i="3"/>
  <c r="H17" i="3"/>
  <c r="H15" i="3"/>
  <c r="H13" i="3"/>
  <c r="H11" i="3"/>
  <c r="H9" i="3"/>
  <c r="H7" i="3"/>
  <c r="H5" i="3"/>
  <c r="H3" i="3"/>
  <c r="G18" i="3"/>
  <c r="G15" i="3"/>
  <c r="G16" i="3"/>
  <c r="G17" i="3"/>
  <c r="J14" i="5"/>
  <c r="K14" i="5" s="1"/>
  <c r="J13" i="5"/>
  <c r="K12" i="5"/>
  <c r="J11" i="5"/>
  <c r="K11" i="5" s="1"/>
  <c r="J10" i="5"/>
  <c r="K9" i="5"/>
  <c r="J8" i="5"/>
  <c r="J7" i="5"/>
  <c r="K7" i="5" s="1"/>
  <c r="K6" i="5"/>
  <c r="J5" i="5"/>
  <c r="J4" i="5"/>
  <c r="J3" i="5"/>
  <c r="J17" i="5"/>
  <c r="K17" i="5" s="1"/>
  <c r="J16" i="5"/>
  <c r="K16" i="5" s="1"/>
  <c r="G4" i="2"/>
  <c r="G5" i="2"/>
  <c r="G6" i="2"/>
  <c r="G7" i="2"/>
  <c r="G8" i="2"/>
  <c r="G9" i="2"/>
  <c r="G10" i="2"/>
  <c r="G3" i="2"/>
  <c r="E4" i="2"/>
  <c r="E5" i="2"/>
  <c r="E6" i="2"/>
  <c r="E7" i="2"/>
  <c r="E8" i="2"/>
  <c r="E9" i="2"/>
  <c r="E10" i="2"/>
  <c r="E3" i="2"/>
  <c r="D4" i="2"/>
  <c r="D5" i="2"/>
  <c r="D6" i="2"/>
  <c r="D7" i="2"/>
  <c r="D8" i="2"/>
  <c r="D9" i="2"/>
  <c r="D10" i="2"/>
  <c r="D3" i="2"/>
  <c r="Q8" i="6"/>
  <c r="W6" i="6" l="1"/>
  <c r="W7" i="6" s="1"/>
  <c r="W8" i="6" s="1"/>
  <c r="W15" i="6"/>
  <c r="W16" i="6" s="1"/>
  <c r="W17" i="6" s="1"/>
  <c r="Q11" i="6" s="1"/>
  <c r="Q12" i="6" s="1"/>
  <c r="C10" i="1"/>
  <c r="B10" i="1"/>
  <c r="O8" i="4"/>
  <c r="O7" i="4"/>
  <c r="O6" i="4"/>
  <c r="O5" i="4"/>
  <c r="O4" i="4"/>
  <c r="O3" i="4"/>
  <c r="N8" i="4"/>
  <c r="N7" i="4"/>
  <c r="N6" i="4"/>
  <c r="N5" i="4"/>
  <c r="N4" i="4"/>
  <c r="N3" i="4"/>
  <c r="H3" i="4"/>
  <c r="G4" i="3" l="1"/>
  <c r="G5" i="3"/>
  <c r="G6" i="3"/>
  <c r="G7" i="3"/>
  <c r="G8" i="3"/>
  <c r="G9" i="3"/>
  <c r="G10" i="3"/>
  <c r="G11" i="3"/>
  <c r="G12" i="3"/>
  <c r="G13" i="3"/>
  <c r="G14" i="3"/>
  <c r="G3" i="3"/>
  <c r="H21" i="8" l="1"/>
  <c r="I21" i="8" s="1"/>
  <c r="D21" i="8"/>
  <c r="E21" i="8" s="1"/>
  <c r="L20" i="8"/>
  <c r="M20" i="8" s="1"/>
  <c r="L19" i="8"/>
  <c r="M19" i="8" s="1"/>
  <c r="L18" i="8"/>
  <c r="M18" i="8" s="1"/>
  <c r="L17" i="8"/>
  <c r="M17" i="8" s="1"/>
  <c r="L16" i="8"/>
  <c r="M16" i="8" s="1"/>
  <c r="L15" i="8"/>
  <c r="M15" i="8" s="1"/>
  <c r="L14" i="8"/>
  <c r="M14" i="8" s="1"/>
  <c r="L13" i="8"/>
  <c r="M13" i="8" s="1"/>
  <c r="L12" i="8"/>
  <c r="M12" i="8" s="1"/>
  <c r="L11" i="8"/>
  <c r="M11" i="8" s="1"/>
  <c r="L10" i="8"/>
  <c r="M10" i="8" s="1"/>
  <c r="L9" i="8"/>
  <c r="M9" i="8" s="1"/>
  <c r="L8" i="8"/>
  <c r="M8" i="8" s="1"/>
  <c r="L7" i="8"/>
  <c r="M7" i="8" s="1"/>
  <c r="L6" i="8"/>
  <c r="M6" i="8" s="1"/>
  <c r="L5" i="8"/>
  <c r="M5" i="8" s="1"/>
  <c r="L4" i="8"/>
  <c r="M4" i="8" s="1"/>
  <c r="L3" i="8"/>
  <c r="M3" i="8" s="1"/>
  <c r="J15" i="5" l="1"/>
  <c r="K15" i="5" s="1"/>
  <c r="J18" i="5"/>
  <c r="K18" i="5" s="1"/>
  <c r="K5" i="5"/>
  <c r="K4" i="5"/>
  <c r="N3" i="5" l="1"/>
  <c r="O3" i="5"/>
  <c r="N6" i="5"/>
  <c r="O6" i="5"/>
  <c r="O10" i="5"/>
  <c r="N10" i="5"/>
  <c r="O9" i="5"/>
  <c r="N9" i="5"/>
  <c r="Q8" i="5"/>
  <c r="Q7" i="5"/>
  <c r="Q5" i="5"/>
  <c r="K7" i="7"/>
  <c r="L7" i="7" s="1"/>
  <c r="I7" i="7"/>
  <c r="N5" i="7"/>
  <c r="O5" i="7" s="1"/>
  <c r="Q5" i="7" s="1"/>
  <c r="N6" i="7"/>
  <c r="O6" i="7" s="1"/>
  <c r="Q6" i="7" s="1"/>
  <c r="N4" i="7"/>
  <c r="O4" i="7" s="1"/>
  <c r="Q4" i="7" s="1"/>
  <c r="G7" i="7"/>
  <c r="F7" i="7"/>
  <c r="D7" i="7"/>
  <c r="C13" i="4" l="1"/>
  <c r="Q21" i="6"/>
  <c r="Q6" i="6"/>
  <c r="Q23" i="6" l="1"/>
  <c r="N4" i="5" l="1"/>
  <c r="O4" i="5"/>
  <c r="Q25" i="6"/>
  <c r="Q27" i="6" s="1"/>
  <c r="Q4" i="5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J9" i="3"/>
  <c r="K5" i="3"/>
  <c r="C23" i="3" s="1"/>
  <c r="G19" i="5"/>
  <c r="H19" i="5" s="1"/>
  <c r="D19" i="5"/>
  <c r="E19" i="5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G3" i="4"/>
  <c r="D19" i="3"/>
  <c r="E19" i="3" s="1"/>
  <c r="N7" i="5" l="1"/>
  <c r="O7" i="5"/>
  <c r="N8" i="5"/>
  <c r="O8" i="5"/>
  <c r="O5" i="5"/>
  <c r="N5" i="5"/>
  <c r="Q6" i="5"/>
  <c r="Q5" i="4"/>
  <c r="Q8" i="4"/>
  <c r="Q7" i="4"/>
  <c r="Q6" i="4"/>
  <c r="Q4" i="4"/>
  <c r="K13" i="3"/>
  <c r="C27" i="3" s="1"/>
  <c r="K3" i="3"/>
  <c r="C22" i="3" s="1"/>
  <c r="I18" i="4"/>
  <c r="K9" i="3"/>
  <c r="C25" i="3" s="1"/>
  <c r="J7" i="3"/>
  <c r="K7" i="3"/>
  <c r="C24" i="3" s="1"/>
  <c r="K11" i="3"/>
  <c r="C26" i="3" s="1"/>
  <c r="J13" i="3"/>
  <c r="J11" i="3"/>
  <c r="J5" i="3"/>
  <c r="R3" i="4" l="1"/>
  <c r="I15" i="4"/>
  <c r="I9" i="4"/>
  <c r="I12" i="4"/>
  <c r="I6" i="4"/>
  <c r="I3" i="4"/>
  <c r="R7" i="4"/>
  <c r="R6" i="4"/>
  <c r="R8" i="4"/>
  <c r="R5" i="4"/>
  <c r="R4" i="4"/>
  <c r="B36" i="1" l="1"/>
  <c r="B37" i="1" s="1"/>
  <c r="B33" i="1"/>
  <c r="B34" i="1" s="1"/>
  <c r="W31" i="1"/>
  <c r="W30" i="1"/>
  <c r="W29" i="1"/>
  <c r="C11" i="1"/>
  <c r="B11" i="1"/>
  <c r="B12" i="1" l="1"/>
</calcChain>
</file>

<file path=xl/sharedStrings.xml><?xml version="1.0" encoding="utf-8"?>
<sst xmlns="http://schemas.openxmlformats.org/spreadsheetml/2006/main" count="444" uniqueCount="144">
  <si>
    <t xml:space="preserve"> </t>
  </si>
  <si>
    <t>Macrophage Calculations</t>
  </si>
  <si>
    <t>A</t>
  </si>
  <si>
    <t>LVS</t>
  </si>
  <si>
    <t>dptA(-)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</si>
  <si>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</si>
  <si>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</si>
  <si>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</si>
  <si>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</si>
  <si>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</si>
  <si>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</si>
  <si>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</si>
  <si>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</si>
  <si>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</si>
  <si>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</si>
  <si>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</si>
  <si>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</si>
  <si>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</si>
  <si>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</si>
  <si>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</si>
  <si>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</si>
  <si>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Number of plates</t>
  </si>
  <si>
    <t>Use</t>
  </si>
  <si>
    <t>Round</t>
  </si>
  <si>
    <t>Square</t>
  </si>
  <si>
    <t>Notes</t>
  </si>
  <si>
    <t>Patch strains for infections</t>
  </si>
  <si>
    <t>Plate inoculumns</t>
  </si>
  <si>
    <t>Bacterial Calculations</t>
  </si>
  <si>
    <t>Actual</t>
  </si>
  <si>
    <t>Timepoint 2 hours</t>
  </si>
  <si>
    <t>MOI</t>
  </si>
  <si>
    <t>Timepoint 24 hours</t>
  </si>
  <si>
    <t>Macrophage cells per well</t>
  </si>
  <si>
    <t>Total plates</t>
  </si>
  <si>
    <t>Volume bacteria to add (mL)</t>
  </si>
  <si>
    <t>Flasks of 600 mL CHA</t>
  </si>
  <si>
    <t>Round plates: 24 mL, 25 per flask; Square plates: 30 mL, 20 per flask</t>
  </si>
  <si>
    <t>Bacterial density needed (cells/mL)</t>
  </si>
  <si>
    <t>Total number of CHA flasks</t>
  </si>
  <si>
    <t>Cells/mL per OD600</t>
  </si>
  <si>
    <t>OD needed for given density</t>
  </si>
  <si>
    <t>Resuspend to</t>
  </si>
  <si>
    <t>Final MOI 5, dilute 1:100</t>
  </si>
  <si>
    <t>For final vol 1.3 mL at 0.028</t>
  </si>
  <si>
    <t>Number</t>
  </si>
  <si>
    <t>Strain</t>
  </si>
  <si>
    <t>Resuspend cells to (OD600)</t>
  </si>
  <si>
    <t>Cells (uL)</t>
  </si>
  <si>
    <t>Media (x2, uL)</t>
  </si>
  <si>
    <t>OD600</t>
  </si>
  <si>
    <t>Volume to dilute in 1 mL (usually 1:100)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</si>
  <si>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>chaC</t>
    </r>
  </si>
  <si>
    <t>undiluted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</si>
  <si>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 xml:space="preserve">chaC </t>
    </r>
    <r>
      <rPr>
        <sz val="12"/>
        <color theme="1"/>
        <rFont val="Calibri"/>
        <family val="2"/>
        <scheme val="minor"/>
      </rPr>
      <t>Tn7:</t>
    </r>
    <r>
      <rPr>
        <i/>
        <sz val="12"/>
        <color theme="1"/>
        <rFont val="Calibri"/>
        <family val="2"/>
        <scheme val="minor"/>
      </rPr>
      <t>chaC</t>
    </r>
  </si>
  <si>
    <t>Inoculum</t>
  </si>
  <si>
    <t>Replicate</t>
  </si>
  <si>
    <t>Dilution factor counted</t>
  </si>
  <si>
    <t>Cells / mL</t>
  </si>
  <si>
    <t>Average Cells / mL</t>
  </si>
  <si>
    <t>St dev</t>
  </si>
  <si>
    <t>CFU/well</t>
  </si>
  <si>
    <t>MOI (based on number of seeded macrophage- see setup)</t>
  </si>
  <si>
    <t>1A</t>
  </si>
  <si>
    <t>TMTC</t>
  </si>
  <si>
    <t>1B</t>
  </si>
  <si>
    <t>2A</t>
  </si>
  <si>
    <t>2B</t>
  </si>
  <si>
    <t>3A</t>
  </si>
  <si>
    <t>3B</t>
  </si>
  <si>
    <t>Dilution Factor</t>
  </si>
  <si>
    <t>Plate</t>
  </si>
  <si>
    <t>Plate 1</t>
  </si>
  <si>
    <t>Plate 2</t>
  </si>
  <si>
    <t>Average Cells</t>
  </si>
  <si>
    <t>CFU per well</t>
  </si>
  <si>
    <t>T-test</t>
  </si>
  <si>
    <t>Average CFU per well</t>
  </si>
  <si>
    <t>St Dev</t>
  </si>
  <si>
    <t>Original MOI</t>
  </si>
  <si>
    <t>Fold Change</t>
  </si>
  <si>
    <t>1C</t>
  </si>
  <si>
    <t>2C</t>
  </si>
  <si>
    <t>3C</t>
  </si>
  <si>
    <t>-</t>
  </si>
  <si>
    <t>50 ul cells plated</t>
  </si>
  <si>
    <t>Track Plate 1</t>
  </si>
  <si>
    <t>Track Plate 2</t>
  </si>
  <si>
    <t>T-test (vs LVS)</t>
  </si>
  <si>
    <t>*Plated 50 ul on circular plate</t>
  </si>
  <si>
    <t>7A</t>
  </si>
  <si>
    <t>7B</t>
  </si>
  <si>
    <t>8A</t>
  </si>
  <si>
    <t>8B</t>
  </si>
  <si>
    <t>9A</t>
  </si>
  <si>
    <t>9B</t>
  </si>
  <si>
    <t xml:space="preserve">Cysteine? </t>
  </si>
  <si>
    <t>+</t>
  </si>
  <si>
    <t>Cysteine?</t>
  </si>
  <si>
    <t>7C</t>
  </si>
  <si>
    <t>8C</t>
  </si>
  <si>
    <t>9C</t>
  </si>
  <si>
    <t>dptA(-)*</t>
  </si>
  <si>
    <t>T=24</t>
  </si>
  <si>
    <t>∆chaC</t>
  </si>
  <si>
    <r>
      <t>∆</t>
    </r>
    <r>
      <rPr>
        <b/>
        <i/>
        <sz val="12"/>
        <color theme="1"/>
        <rFont val="Calibri"/>
        <family val="2"/>
        <scheme val="minor"/>
      </rPr>
      <t>chaC</t>
    </r>
  </si>
  <si>
    <r>
      <rPr>
        <b/>
        <i/>
        <sz val="12"/>
        <color theme="1"/>
        <rFont val="Calibri"/>
        <family val="2"/>
        <scheme val="minor"/>
      </rPr>
      <t>dptA</t>
    </r>
    <r>
      <rPr>
        <b/>
        <sz val="12"/>
        <color theme="1"/>
        <rFont val="Calibri"/>
        <family val="2"/>
        <scheme val="minor"/>
      </rPr>
      <t>(-)</t>
    </r>
  </si>
  <si>
    <t>2nd measurement</t>
  </si>
  <si>
    <t>1st measurement</t>
  </si>
  <si>
    <t>Average</t>
  </si>
  <si>
    <t>Undiluted</t>
  </si>
  <si>
    <t>Density</t>
  </si>
  <si>
    <t>#</t>
  </si>
  <si>
    <t>CFU per mL</t>
  </si>
  <si>
    <t>CFU per mL per OD600</t>
  </si>
  <si>
    <t>LVS (master stock)</t>
  </si>
  <si>
    <t>Media (uL)</t>
  </si>
  <si>
    <t>KR_37.1</t>
  </si>
  <si>
    <t>KR_37.2</t>
  </si>
  <si>
    <t>SD_37.1</t>
  </si>
  <si>
    <t>SD_37.2</t>
  </si>
  <si>
    <t>∆pigR</t>
  </si>
  <si>
    <t>KMLFT37.1 from KR lab</t>
  </si>
  <si>
    <t>KMLFT37.2 from KR lab</t>
  </si>
  <si>
    <t>KMLFT37.1 from SD lab</t>
  </si>
  <si>
    <t>KMLFT37.2 from SD lab</t>
  </si>
  <si>
    <t>JCLVS106.1</t>
  </si>
  <si>
    <t>∆pmrA</t>
  </si>
  <si>
    <t>KRLVS40.1</t>
  </si>
  <si>
    <t>KMLFT57</t>
  </si>
  <si>
    <t>∆pmrA ∆priM</t>
  </si>
  <si>
    <t>2x each, each 1/2 plate</t>
  </si>
  <si>
    <t>8 strains in duplicate</t>
  </si>
  <si>
    <t>No T=2 for this expt</t>
  </si>
  <si>
    <t>Square: 7 strains x 2 wells x 2 plates; round: ∆pigR x 2 wells x 2 plates</t>
  </si>
  <si>
    <t>KMLFT49.1</t>
  </si>
  <si>
    <t>For final vol 1.3 mL at 0.04</t>
  </si>
  <si>
    <t>4A</t>
  </si>
  <si>
    <t>4B</t>
  </si>
  <si>
    <t>5A</t>
  </si>
  <si>
    <t>5B</t>
  </si>
  <si>
    <t>6A</t>
  </si>
  <si>
    <t>6B</t>
  </si>
  <si>
    <t>JCLVS106.1*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</si>
</sst>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11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2" fontId="0" fillId="0" borderId="1" xfId="0" applyNumberFormat="1" applyBorder="1"/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right"/>
    </xf>
    <xf numFmtId="11" fontId="0" fillId="0" borderId="0" xfId="0" applyNumberFormat="1" applyBorder="1"/>
    <xf numFmtId="164" fontId="0" fillId="0" borderId="0" xfId="0" applyNumberFormat="1" applyBorder="1"/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166" fontId="0" fillId="0" borderId="0" xfId="0" applyNumberForma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/>
    </xf>
    <xf numFmtId="11" fontId="0" fillId="2" borderId="1" xfId="0" applyNumberFormat="1" applyFill="1" applyBorder="1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9" xfId="0" applyFont="1" applyBorder="1"/>
    <xf numFmtId="0" fontId="5" fillId="0" borderId="7" xfId="0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1" fontId="0" fillId="0" borderId="1" xfId="0" applyNumberFormat="1" applyFont="1" applyBorder="1"/>
    <xf numFmtId="11" fontId="0" fillId="0" borderId="1" xfId="0" applyNumberFormat="1" applyFont="1" applyBorder="1"/>
    <xf numFmtId="0" fontId="0" fillId="0" borderId="0" xfId="0" applyFont="1"/>
    <xf numFmtId="11" fontId="0" fillId="0" borderId="0" xfId="0" applyNumberFormat="1" applyFont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/>
    <xf numFmtId="0" fontId="7" fillId="2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" fontId="8" fillId="0" borderId="1" xfId="0" applyNumberFormat="1" applyFont="1" applyBorder="1"/>
    <xf numFmtId="11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right"/>
    </xf>
    <xf numFmtId="11" fontId="8" fillId="0" borderId="0" xfId="0" applyNumberFormat="1" applyFont="1"/>
    <xf numFmtId="166" fontId="0" fillId="0" borderId="1" xfId="0" applyNumberFormat="1" applyBorder="1"/>
    <xf numFmtId="11" fontId="1" fillId="0" borderId="1" xfId="0" applyNumberFormat="1" applyFont="1" applyBorder="1"/>
    <xf numFmtId="11" fontId="1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/>
    <xf numFmtId="2" fontId="5" fillId="0" borderId="1" xfId="0" applyNumberFormat="1" applyFont="1" applyFill="1" applyBorder="1"/>
    <xf numFmtId="0" fontId="0" fillId="0" borderId="6" xfId="0" applyBorder="1" applyAlignment="1">
      <alignment horizontal="center" vertical="center"/>
    </xf>
    <xf numFmtId="0" fontId="0" fillId="0" borderId="4" xfId="0" applyBorder="1"/>
    <xf numFmtId="0" fontId="0" fillId="0" borderId="1" xfId="0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5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7281645247209"/>
          <c:y val="4.4444444444444398E-2"/>
          <c:w val="0.8612743970774448"/>
          <c:h val="0.68508909027880949"/>
        </c:manualLayout>
      </c:layout>
      <c:barChart>
        <c:barDir val="col"/>
        <c:grouping val="clustered"/>
        <c:varyColors val="0"/>
        <c:ser>
          <c:idx val="0"/>
          <c:order val="0"/>
          <c:tx>
            <c:v>T=24</c:v>
          </c:tx>
          <c:spPr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'T=24'!$O$3:$O$10</c:f>
                <c:numCache>
                  <c:formatCode>General</c:formatCode>
                  <c:ptCount val="8"/>
                  <c:pt idx="0">
                    <c:v>707.10678118654755</c:v>
                  </c:pt>
                  <c:pt idx="1">
                    <c:v>777.81745930520231</c:v>
                  </c:pt>
                  <c:pt idx="2">
                    <c:v>1060.6601717798212</c:v>
                  </c:pt>
                  <c:pt idx="3">
                    <c:v>4101.219330881976</c:v>
                  </c:pt>
                  <c:pt idx="4">
                    <c:v>3111.2698372208092</c:v>
                  </c:pt>
                  <c:pt idx="5">
                    <c:v>6929.6464556281653</c:v>
                  </c:pt>
                  <c:pt idx="6">
                    <c:v>56.568542494923804</c:v>
                  </c:pt>
                  <c:pt idx="7">
                    <c:v>2.8284271247461903</c:v>
                  </c:pt>
                </c:numCache>
              </c:numRef>
            </c:plus>
            <c:minus>
              <c:numRef>
                <c:f>'T=24'!$O$3:$O$10</c:f>
                <c:numCache>
                  <c:formatCode>General</c:formatCode>
                  <c:ptCount val="8"/>
                  <c:pt idx="0">
                    <c:v>707.10678118654755</c:v>
                  </c:pt>
                  <c:pt idx="1">
                    <c:v>777.81745930520231</c:v>
                  </c:pt>
                  <c:pt idx="2">
                    <c:v>1060.6601717798212</c:v>
                  </c:pt>
                  <c:pt idx="3">
                    <c:v>4101.219330881976</c:v>
                  </c:pt>
                  <c:pt idx="4">
                    <c:v>3111.2698372208092</c:v>
                  </c:pt>
                  <c:pt idx="5">
                    <c:v>6929.6464556281653</c:v>
                  </c:pt>
                  <c:pt idx="6">
                    <c:v>56.568542494923804</c:v>
                  </c:pt>
                  <c:pt idx="7">
                    <c:v>2.8284271247461903</c:v>
                  </c:pt>
                </c:numCache>
              </c:numRef>
            </c:minus>
          </c:errBars>
          <c:cat>
            <c:strRef>
              <c:f>'T=24'!$M$3:$M$10</c:f>
              <c:strCache>
                <c:ptCount val="8"/>
                <c:pt idx="0">
                  <c:v>LVS (master stock)</c:v>
                </c:pt>
                <c:pt idx="1">
                  <c:v>KMLFT49.1</c:v>
                </c:pt>
                <c:pt idx="2">
                  <c:v>KMLFT37.1 from KR lab</c:v>
                </c:pt>
                <c:pt idx="3">
                  <c:v>KMLFT37.2 from KR lab</c:v>
                </c:pt>
                <c:pt idx="4">
                  <c:v>KMLFT37.1 from SD lab</c:v>
                </c:pt>
                <c:pt idx="5">
                  <c:v>KMLFT37.2 from SD lab</c:v>
                </c:pt>
                <c:pt idx="6">
                  <c:v>KRLVS40.1</c:v>
                </c:pt>
                <c:pt idx="7">
                  <c:v>JCLVS106.1</c:v>
                </c:pt>
              </c:strCache>
            </c:strRef>
          </c:cat>
          <c:val>
            <c:numRef>
              <c:f>'T=24'!$N$3:$N$10</c:f>
              <c:numCache>
                <c:formatCode>0.00E+00</c:formatCode>
                <c:ptCount val="8"/>
                <c:pt idx="0">
                  <c:v>44500</c:v>
                </c:pt>
                <c:pt idx="1">
                  <c:v>9950</c:v>
                </c:pt>
                <c:pt idx="2">
                  <c:v>11350</c:v>
                </c:pt>
                <c:pt idx="3">
                  <c:v>2900</c:v>
                </c:pt>
                <c:pt idx="4">
                  <c:v>20000</c:v>
                </c:pt>
                <c:pt idx="5">
                  <c:v>4900</c:v>
                </c:pt>
                <c:pt idx="6">
                  <c:v>350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C-814B-A364-060C7A020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8386578757137793"/>
          <c:y val="1.7563028920450363E-2"/>
          <c:w val="0.1876430834315766"/>
          <c:h val="6.982439459218541E-2"/>
        </c:manualLayout>
      </c:layout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Inoculum!$B$21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Inoculum!$C$22:$C$29</c:f>
                <c:numCache>
                  <c:formatCode>General</c:formatCode>
                  <c:ptCount val="8"/>
                  <c:pt idx="0">
                    <c:v>60104.076400856502</c:v>
                  </c:pt>
                  <c:pt idx="1">
                    <c:v>28284.271247461817</c:v>
                  </c:pt>
                  <c:pt idx="2">
                    <c:v>7071.067811865476</c:v>
                  </c:pt>
                  <c:pt idx="3">
                    <c:v>10606.601717798221</c:v>
                  </c:pt>
                  <c:pt idx="4">
                    <c:v>0</c:v>
                  </c:pt>
                  <c:pt idx="5">
                    <c:v>0</c:v>
                  </c:pt>
                  <c:pt idx="6">
                    <c:v>17677.669529663672</c:v>
                  </c:pt>
                  <c:pt idx="7">
                    <c:v>70710.678118654789</c:v>
                  </c:pt>
                </c:numCache>
              </c:numRef>
            </c:plus>
            <c:minus>
              <c:numRef>
                <c:f>Inoculum!$C$22:$C$29</c:f>
                <c:numCache>
                  <c:formatCode>General</c:formatCode>
                  <c:ptCount val="8"/>
                  <c:pt idx="0">
                    <c:v>60104.076400856502</c:v>
                  </c:pt>
                  <c:pt idx="1">
                    <c:v>28284.271247461817</c:v>
                  </c:pt>
                  <c:pt idx="2">
                    <c:v>7071.067811865476</c:v>
                  </c:pt>
                  <c:pt idx="3">
                    <c:v>10606.601717798221</c:v>
                  </c:pt>
                  <c:pt idx="4">
                    <c:v>0</c:v>
                  </c:pt>
                  <c:pt idx="5">
                    <c:v>0</c:v>
                  </c:pt>
                  <c:pt idx="6">
                    <c:v>17677.669529663672</c:v>
                  </c:pt>
                  <c:pt idx="7">
                    <c:v>70710.678118654789</c:v>
                  </c:pt>
                </c:numCache>
              </c:numRef>
            </c:minus>
          </c:errBars>
          <c:cat>
            <c:strRef>
              <c:f>Inoculum!$A$22:$A$29</c:f>
              <c:strCache>
                <c:ptCount val="8"/>
                <c:pt idx="0">
                  <c:v>LVS (master stock)</c:v>
                </c:pt>
                <c:pt idx="1">
                  <c:v>KMLFT49.1</c:v>
                </c:pt>
                <c:pt idx="2">
                  <c:v>KMLFT37.1 from KR lab</c:v>
                </c:pt>
                <c:pt idx="3">
                  <c:v>KMLFT37.2 from KR lab</c:v>
                </c:pt>
                <c:pt idx="4">
                  <c:v>KMLFT37.1 from SD lab</c:v>
                </c:pt>
                <c:pt idx="5">
                  <c:v>KMLFT37.2 from SD lab</c:v>
                </c:pt>
                <c:pt idx="6">
                  <c:v>KRLVS40.1</c:v>
                </c:pt>
                <c:pt idx="7">
                  <c:v>JCLVS106.1</c:v>
                </c:pt>
              </c:strCache>
            </c:strRef>
          </c:cat>
          <c:val>
            <c:numRef>
              <c:f>Inoculum!$B$22:$B$29</c:f>
              <c:numCache>
                <c:formatCode>0.00E+00</c:formatCode>
                <c:ptCount val="8"/>
                <c:pt idx="0">
                  <c:v>102500</c:v>
                </c:pt>
                <c:pt idx="1">
                  <c:v>130000</c:v>
                </c:pt>
                <c:pt idx="2">
                  <c:v>90000</c:v>
                </c:pt>
                <c:pt idx="3">
                  <c:v>107500</c:v>
                </c:pt>
                <c:pt idx="4">
                  <c:v>130000</c:v>
                </c:pt>
                <c:pt idx="5">
                  <c:v>115000</c:v>
                </c:pt>
                <c:pt idx="6">
                  <c:v>147500</c:v>
                </c:pt>
                <c:pt idx="7">
                  <c:v>144999.99999999997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6-47D7-A0E9-F3AA82FF6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'T=2'!$O$3:$O$8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9.4516312525052175</c:v>
                  </c:pt>
                  <c:pt idx="2">
                    <c:v>11.135528725660043</c:v>
                  </c:pt>
                  <c:pt idx="3">
                    <c:v>4</c:v>
                  </c:pt>
                  <c:pt idx="4">
                    <c:v>4.1633319989322635</c:v>
                  </c:pt>
                  <c:pt idx="5">
                    <c:v>15.620499351813308</c:v>
                  </c:pt>
                </c:numCache>
              </c:numRef>
            </c:plus>
            <c:minus>
              <c:numRef>
                <c:f>'T=2'!$O$3:$O$8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9.4516312525052175</c:v>
                  </c:pt>
                  <c:pt idx="2">
                    <c:v>11.135528725660043</c:v>
                  </c:pt>
                  <c:pt idx="3">
                    <c:v>4</c:v>
                  </c:pt>
                  <c:pt idx="4">
                    <c:v>4.1633319989322635</c:v>
                  </c:pt>
                  <c:pt idx="5">
                    <c:v>15.620499351813308</c:v>
                  </c:pt>
                </c:numCache>
              </c:numRef>
            </c:minus>
            <c:spPr>
              <a:ln>
                <a:solidFill>
                  <a:schemeClr val="tx1"/>
                </a:solidFill>
              </a:ln>
            </c:spPr>
          </c:errBars>
          <c:cat>
            <c:strRef>
              <c:f>'T=2'!$L$3:$L$8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dptA(-)</c:v>
                </c:pt>
                <c:pt idx="3">
                  <c:v>LVS</c:v>
                </c:pt>
                <c:pt idx="4">
                  <c:v>∆chaC</c:v>
                </c:pt>
                <c:pt idx="5">
                  <c:v>dptA(-)</c:v>
                </c:pt>
              </c:strCache>
            </c:strRef>
          </c:cat>
          <c:val>
            <c:numRef>
              <c:f>'T=2'!$N$3:$N$8</c:f>
              <c:numCache>
                <c:formatCode>0.00E+00</c:formatCode>
                <c:ptCount val="6"/>
                <c:pt idx="0">
                  <c:v>20</c:v>
                </c:pt>
                <c:pt idx="1">
                  <c:v>11.333333333333334</c:v>
                </c:pt>
                <c:pt idx="2">
                  <c:v>28</c:v>
                </c:pt>
                <c:pt idx="3">
                  <c:v>20</c:v>
                </c:pt>
                <c:pt idx="4">
                  <c:v>15.333333333333334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1-47C7-BF3C-EF64641EC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76201</xdr:colOff>
      <xdr:row>17</xdr:row>
      <xdr:rowOff>0</xdr:rowOff>
    </xdr:from>
    <xdr:to>
      <xdr:col>26</xdr:col>
      <xdr:colOff>793751</xdr:colOff>
      <xdr:row>39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B7C6C4-FAE4-D84F-ACD2-6C5765F93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406400</xdr:colOff>
      <xdr:row>33</xdr:row>
      <xdr:rowOff>95250</xdr:rowOff>
    </xdr:from>
    <xdr:to>
      <xdr:col>13</xdr:col>
      <xdr:colOff>787400</xdr:colOff>
      <xdr:row>45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E61369-F4B1-4418-AE70-3DDAB31CF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800100</xdr:colOff>
      <xdr:row>1</xdr:row>
      <xdr:rowOff>436033</xdr:rowOff>
    </xdr:from>
    <xdr:to>
      <xdr:col>27</xdr:col>
      <xdr:colOff>773546</xdr:colOff>
      <xdr:row>19</xdr:row>
      <xdr:rowOff>125589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51E1F1-F696-4A54-A6D5-3AEE795E2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5C57-8139-4D40-9212-FF2505C90C78}">
  <sheetPr>
    <pageSetUpPr fitToPage="1"/>
  </sheetPr>
  <dimension ref="A3:Z36"/>
  <sheetViews>
    <sheetView topLeftCell="E1" zoomScale="134" zoomScaleNormal="120" workbookViewId="0">
      <selection activeCell="P29" sqref="P29:P36"/>
    </sheetView>
  </sheetViews>
  <sheetFormatPr baseColWidth="10" defaultColWidth="10.6640625" defaultRowHeight="16" x14ac:dyDescent="0.2"/>
  <cols>
    <col min="1" max="1" width="2.5" bestFit="1" customWidth="1"/>
    <col min="2" max="2" width="10" customWidth="1"/>
    <col min="3" max="3" width="10.1640625" customWidth="1"/>
    <col min="4" max="4" width="2.6640625" customWidth="1"/>
    <col min="5" max="6" width="10" customWidth="1"/>
    <col min="7" max="7" width="2.6640625" customWidth="1"/>
    <col min="8" max="9" width="10" customWidth="1"/>
    <col min="10" max="10" width="2.6640625" customWidth="1"/>
    <col min="11" max="12" width="10" customWidth="1"/>
    <col min="13" max="13" width="2.6640625" customWidth="1"/>
    <col min="14" max="14" width="4.33203125" customWidth="1"/>
    <col min="15" max="15" width="3" customWidth="1"/>
    <col min="16" max="16" width="26.6640625" bestFit="1" customWidth="1"/>
    <col min="17" max="17" width="12.83203125" bestFit="1" customWidth="1"/>
    <col min="18" max="18" width="6.5" customWidth="1"/>
    <col min="19" max="22" width="3.1640625" bestFit="1" customWidth="1"/>
    <col min="23" max="23" width="8.6640625" bestFit="1" customWidth="1"/>
    <col min="25" max="28" width="3.5" customWidth="1"/>
  </cols>
  <sheetData>
    <row r="3" spans="1:26" ht="17" thickBot="1" x14ac:dyDescent="0.25">
      <c r="A3" s="2" t="s">
        <v>0</v>
      </c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N3" s="95"/>
      <c r="P3" s="106" t="s">
        <v>1</v>
      </c>
      <c r="Q3" s="106"/>
      <c r="S3" s="107" t="s">
        <v>108</v>
      </c>
      <c r="T3" s="107"/>
      <c r="U3" s="107"/>
      <c r="V3" s="107"/>
      <c r="W3" s="107"/>
    </row>
    <row r="4" spans="1:26" ht="17" x14ac:dyDescent="0.2">
      <c r="A4" s="5" t="s">
        <v>2</v>
      </c>
      <c r="B4" s="6" t="s">
        <v>3</v>
      </c>
      <c r="C4" s="6" t="s">
        <v>3</v>
      </c>
      <c r="D4" s="6"/>
      <c r="E4" s="6" t="s">
        <v>129</v>
      </c>
      <c r="F4" s="6" t="s">
        <v>129</v>
      </c>
      <c r="G4" s="6"/>
      <c r="H4" s="6" t="s">
        <v>117</v>
      </c>
      <c r="I4" s="6" t="s">
        <v>117</v>
      </c>
      <c r="J4" s="6"/>
      <c r="K4" s="6" t="s">
        <v>118</v>
      </c>
      <c r="L4" s="6" t="s">
        <v>118</v>
      </c>
      <c r="M4" s="7"/>
      <c r="N4" s="44"/>
      <c r="P4" s="2" t="s">
        <v>5</v>
      </c>
      <c r="Q4" s="9">
        <v>25000</v>
      </c>
      <c r="S4" s="2">
        <v>9</v>
      </c>
      <c r="T4" s="2">
        <v>9</v>
      </c>
      <c r="U4" s="2">
        <v>6</v>
      </c>
      <c r="V4" s="2">
        <v>9</v>
      </c>
      <c r="W4" s="107"/>
    </row>
    <row r="5" spans="1:26" x14ac:dyDescent="0.2">
      <c r="A5" s="5" t="s">
        <v>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2"/>
      <c r="N5" s="49"/>
      <c r="P5" s="2" t="s">
        <v>7</v>
      </c>
      <c r="Q5" s="2">
        <v>0.2</v>
      </c>
      <c r="S5" s="2"/>
      <c r="T5" s="2"/>
      <c r="U5" s="2"/>
      <c r="V5" s="2"/>
      <c r="W5" s="107"/>
    </row>
    <row r="6" spans="1:26" x14ac:dyDescent="0.2">
      <c r="A6" s="5" t="s">
        <v>8</v>
      </c>
      <c r="B6" s="6"/>
      <c r="C6" s="6"/>
      <c r="D6" s="6"/>
      <c r="E6" s="7"/>
      <c r="F6" s="6"/>
      <c r="G6" s="6"/>
      <c r="H6" s="6"/>
      <c r="I6" s="8"/>
      <c r="J6" s="6"/>
      <c r="K6" s="6"/>
      <c r="L6" s="6"/>
      <c r="M6" s="2"/>
      <c r="N6" s="49"/>
      <c r="P6" s="2" t="s">
        <v>9</v>
      </c>
      <c r="Q6" s="9">
        <f>Q4/Q5</f>
        <v>125000</v>
      </c>
      <c r="S6" s="107" t="s">
        <v>109</v>
      </c>
      <c r="T6" s="107"/>
      <c r="U6" s="107"/>
      <c r="V6" s="107"/>
      <c r="W6" s="2">
        <f>AVERAGE(S4:V5)</f>
        <v>8.25</v>
      </c>
    </row>
    <row r="7" spans="1:26" ht="17" x14ac:dyDescent="0.2">
      <c r="A7" s="5" t="s">
        <v>10</v>
      </c>
      <c r="B7" s="6" t="s">
        <v>119</v>
      </c>
      <c r="C7" s="6" t="s">
        <v>119</v>
      </c>
      <c r="D7" s="6"/>
      <c r="E7" s="6" t="s">
        <v>120</v>
      </c>
      <c r="F7" s="6" t="s">
        <v>120</v>
      </c>
      <c r="G7" s="6"/>
      <c r="H7" s="6" t="s">
        <v>128</v>
      </c>
      <c r="I7" s="6" t="s">
        <v>128</v>
      </c>
      <c r="J7" s="6"/>
      <c r="K7" s="6" t="s">
        <v>121</v>
      </c>
      <c r="L7" s="6" t="s">
        <v>121</v>
      </c>
      <c r="M7" s="2"/>
      <c r="N7" s="49"/>
      <c r="P7" s="2" t="s">
        <v>11</v>
      </c>
      <c r="Q7" s="2">
        <v>5</v>
      </c>
      <c r="S7" s="107" t="s">
        <v>110</v>
      </c>
      <c r="T7" s="107"/>
      <c r="U7" s="107"/>
      <c r="V7" s="107"/>
      <c r="W7" s="2">
        <f>W6*2</f>
        <v>16.5</v>
      </c>
      <c r="Z7" s="1"/>
    </row>
    <row r="8" spans="1:26" x14ac:dyDescent="0.2">
      <c r="A8" s="5" t="s">
        <v>12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2"/>
      <c r="N8" s="49"/>
      <c r="P8" s="2" t="s">
        <v>13</v>
      </c>
      <c r="Q8" s="54">
        <f>W8</f>
        <v>165000</v>
      </c>
      <c r="S8" s="107" t="s">
        <v>111</v>
      </c>
      <c r="T8" s="107"/>
      <c r="U8" s="107"/>
      <c r="V8" s="107"/>
      <c r="W8" s="9">
        <f>W7*10000</f>
        <v>165000</v>
      </c>
    </row>
    <row r="9" spans="1:26" x14ac:dyDescent="0.2">
      <c r="A9" s="5" t="s">
        <v>14</v>
      </c>
      <c r="B9" s="10"/>
      <c r="C9" s="12"/>
      <c r="D9" s="6"/>
      <c r="E9" s="6"/>
      <c r="F9" s="6"/>
      <c r="G9" s="6"/>
      <c r="H9" s="6"/>
      <c r="I9" s="11"/>
      <c r="J9" s="11"/>
      <c r="K9" s="11"/>
      <c r="L9" s="11"/>
      <c r="M9" s="2"/>
      <c r="N9" s="49"/>
      <c r="P9" s="2" t="s">
        <v>15</v>
      </c>
      <c r="Q9" s="97" t="s">
        <v>84</v>
      </c>
    </row>
    <row r="10" spans="1:26" x14ac:dyDescent="0.2">
      <c r="A10" s="5" t="s">
        <v>16</v>
      </c>
      <c r="B10" s="6"/>
      <c r="C10" s="6"/>
      <c r="D10" s="6"/>
      <c r="E10" s="7"/>
      <c r="F10" s="6"/>
      <c r="G10" s="6"/>
      <c r="H10" s="6"/>
      <c r="I10" s="8"/>
      <c r="J10" s="6"/>
      <c r="K10" s="6"/>
      <c r="L10" s="6"/>
      <c r="M10" s="6"/>
      <c r="N10" s="44"/>
      <c r="P10" s="2" t="s">
        <v>17</v>
      </c>
      <c r="Q10" s="97" t="s">
        <v>84</v>
      </c>
      <c r="S10" s="107" t="s">
        <v>107</v>
      </c>
      <c r="T10" s="107"/>
      <c r="U10" s="107"/>
      <c r="V10" s="107"/>
      <c r="W10" s="107"/>
    </row>
    <row r="11" spans="1:26" x14ac:dyDescent="0.2">
      <c r="A11" s="5" t="s">
        <v>18</v>
      </c>
      <c r="B11" s="10"/>
      <c r="C11" s="12"/>
      <c r="D11" s="6"/>
      <c r="E11" s="6"/>
      <c r="F11" s="6"/>
      <c r="G11" s="6"/>
      <c r="H11" s="6"/>
      <c r="I11" s="11"/>
      <c r="J11" s="11"/>
      <c r="K11" s="11"/>
      <c r="L11" s="11"/>
      <c r="M11" s="2"/>
      <c r="N11" s="49"/>
      <c r="P11" s="2" t="s">
        <v>19</v>
      </c>
      <c r="Q11" s="54">
        <f>W17</f>
        <v>140000</v>
      </c>
      <c r="S11" s="2">
        <v>8</v>
      </c>
      <c r="T11" s="2">
        <v>7</v>
      </c>
      <c r="U11" s="2">
        <v>5</v>
      </c>
      <c r="V11" s="2">
        <v>10</v>
      </c>
      <c r="W11" s="107"/>
    </row>
    <row r="12" spans="1:26" x14ac:dyDescent="0.2">
      <c r="H12" s="1"/>
      <c r="P12" s="2" t="s">
        <v>20</v>
      </c>
      <c r="Q12" s="9">
        <f>Q11*0.15</f>
        <v>21000</v>
      </c>
      <c r="S12" s="2">
        <v>6</v>
      </c>
      <c r="T12" s="2">
        <v>4</v>
      </c>
      <c r="U12" s="2">
        <v>8</v>
      </c>
      <c r="V12" s="2">
        <v>8</v>
      </c>
      <c r="W12" s="107"/>
    </row>
    <row r="13" spans="1:26" x14ac:dyDescent="0.2">
      <c r="S13" s="2"/>
      <c r="T13" s="2"/>
      <c r="U13" s="2"/>
      <c r="V13" s="2"/>
      <c r="W13" s="107"/>
    </row>
    <row r="14" spans="1:26" x14ac:dyDescent="0.2">
      <c r="S14" s="2"/>
      <c r="T14" s="2"/>
      <c r="U14" s="2"/>
      <c r="V14" s="2"/>
      <c r="W14" s="107"/>
    </row>
    <row r="15" spans="1:26" x14ac:dyDescent="0.2">
      <c r="S15" s="107" t="s">
        <v>109</v>
      </c>
      <c r="T15" s="107"/>
      <c r="U15" s="107"/>
      <c r="V15" s="107"/>
      <c r="W15" s="2">
        <f>AVERAGE(S11:V14)</f>
        <v>7</v>
      </c>
    </row>
    <row r="16" spans="1:26" x14ac:dyDescent="0.2">
      <c r="S16" s="107" t="s">
        <v>110</v>
      </c>
      <c r="T16" s="107"/>
      <c r="U16" s="107"/>
      <c r="V16" s="107"/>
      <c r="W16" s="2">
        <f>W15*2</f>
        <v>14</v>
      </c>
    </row>
    <row r="17" spans="15:25" x14ac:dyDescent="0.2">
      <c r="S17" s="107" t="s">
        <v>111</v>
      </c>
      <c r="T17" s="107"/>
      <c r="U17" s="107"/>
      <c r="V17" s="107"/>
      <c r="W17" s="9">
        <f>W16*10000</f>
        <v>140000</v>
      </c>
    </row>
    <row r="19" spans="15:25" x14ac:dyDescent="0.2">
      <c r="P19" s="4" t="s">
        <v>28</v>
      </c>
      <c r="Q19" s="4" t="s">
        <v>29</v>
      </c>
    </row>
    <row r="20" spans="15:25" x14ac:dyDescent="0.2">
      <c r="P20" s="2" t="s">
        <v>31</v>
      </c>
      <c r="Q20" s="14">
        <v>5</v>
      </c>
    </row>
    <row r="21" spans="15:25" x14ac:dyDescent="0.2">
      <c r="P21" s="2" t="s">
        <v>33</v>
      </c>
      <c r="Q21" s="15">
        <f>Q12</f>
        <v>21000</v>
      </c>
    </row>
    <row r="22" spans="15:25" x14ac:dyDescent="0.2">
      <c r="P22" s="2" t="s">
        <v>35</v>
      </c>
      <c r="Q22" s="14">
        <v>0.05</v>
      </c>
    </row>
    <row r="23" spans="15:25" ht="34" x14ac:dyDescent="0.2">
      <c r="P23" s="16" t="s">
        <v>38</v>
      </c>
      <c r="Q23" s="15">
        <f>(Q21*Q20/Q22)</f>
        <v>2100000</v>
      </c>
      <c r="Y23" s="1"/>
    </row>
    <row r="24" spans="15:25" x14ac:dyDescent="0.2">
      <c r="P24" s="2" t="s">
        <v>40</v>
      </c>
      <c r="Q24" s="15">
        <v>5810000000</v>
      </c>
    </row>
    <row r="25" spans="15:25" x14ac:dyDescent="0.2">
      <c r="P25" s="2" t="s">
        <v>41</v>
      </c>
      <c r="Q25" s="17">
        <f>Q23/Q24</f>
        <v>3.6144578313253013E-4</v>
      </c>
    </row>
    <row r="26" spans="15:25" x14ac:dyDescent="0.2">
      <c r="P26" s="2" t="s">
        <v>42</v>
      </c>
      <c r="Q26" s="18">
        <v>0.04</v>
      </c>
    </row>
    <row r="27" spans="15:25" x14ac:dyDescent="0.2">
      <c r="P27" s="2" t="s">
        <v>43</v>
      </c>
      <c r="Q27" s="19">
        <f>Q26/100</f>
        <v>4.0000000000000002E-4</v>
      </c>
    </row>
    <row r="29" spans="15:25" x14ac:dyDescent="0.2">
      <c r="O29" s="2">
        <v>1</v>
      </c>
      <c r="P29" s="2" t="s">
        <v>115</v>
      </c>
      <c r="Q29" s="2" t="s">
        <v>3</v>
      </c>
    </row>
    <row r="30" spans="15:25" x14ac:dyDescent="0.2">
      <c r="O30" s="2">
        <v>2</v>
      </c>
      <c r="P30" s="2" t="s">
        <v>135</v>
      </c>
      <c r="Q30" s="96" t="s">
        <v>130</v>
      </c>
    </row>
    <row r="31" spans="15:25" x14ac:dyDescent="0.2">
      <c r="O31" s="2">
        <v>3</v>
      </c>
      <c r="P31" s="2" t="s">
        <v>122</v>
      </c>
      <c r="Q31" s="96" t="s">
        <v>127</v>
      </c>
    </row>
    <row r="32" spans="15:25" x14ac:dyDescent="0.2">
      <c r="O32" s="2">
        <v>4</v>
      </c>
      <c r="P32" s="2" t="s">
        <v>123</v>
      </c>
      <c r="Q32" s="96" t="s">
        <v>127</v>
      </c>
    </row>
    <row r="33" spans="15:17" x14ac:dyDescent="0.2">
      <c r="O33" s="2">
        <v>5</v>
      </c>
      <c r="P33" s="2" t="s">
        <v>124</v>
      </c>
      <c r="Q33" s="96" t="s">
        <v>127</v>
      </c>
    </row>
    <row r="34" spans="15:17" x14ac:dyDescent="0.2">
      <c r="O34" s="2">
        <v>6</v>
      </c>
      <c r="P34" s="2" t="s">
        <v>125</v>
      </c>
      <c r="Q34" s="96" t="s">
        <v>127</v>
      </c>
    </row>
    <row r="35" spans="15:17" x14ac:dyDescent="0.2">
      <c r="O35" s="2">
        <v>7</v>
      </c>
      <c r="P35" s="2" t="s">
        <v>128</v>
      </c>
      <c r="Q35" s="96" t="s">
        <v>127</v>
      </c>
    </row>
    <row r="36" spans="15:17" x14ac:dyDescent="0.2">
      <c r="O36" s="2">
        <v>8</v>
      </c>
      <c r="P36" s="2" t="s">
        <v>126</v>
      </c>
      <c r="Q36" s="96" t="s">
        <v>121</v>
      </c>
    </row>
  </sheetData>
  <mergeCells count="11">
    <mergeCell ref="S15:V15"/>
    <mergeCell ref="S16:V16"/>
    <mergeCell ref="S17:V17"/>
    <mergeCell ref="W4:W5"/>
    <mergeCell ref="W11:W14"/>
    <mergeCell ref="P3:Q3"/>
    <mergeCell ref="S3:W3"/>
    <mergeCell ref="S10:W10"/>
    <mergeCell ref="S6:V6"/>
    <mergeCell ref="S7:V7"/>
    <mergeCell ref="S8:V8"/>
  </mergeCells>
  <phoneticPr fontId="10" type="noConversion"/>
  <pageMargins left="0.25" right="0.25" top="0.75" bottom="0.75" header="0.3" footer="0.3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F100-489B-4A0B-A53D-12957D12D2FB}">
  <sheetPr>
    <pageSetUpPr fitToPage="1"/>
  </sheetPr>
  <dimension ref="A1:T39"/>
  <sheetViews>
    <sheetView tabSelected="1" showRuler="0" topLeftCell="D10" zoomScaleNormal="100" workbookViewId="0">
      <selection activeCell="J6" sqref="J6"/>
    </sheetView>
  </sheetViews>
  <sheetFormatPr baseColWidth="10" defaultColWidth="10.6640625" defaultRowHeight="16" x14ac:dyDescent="0.2"/>
  <cols>
    <col min="1" max="1" width="20.33203125" bestFit="1" customWidth="1"/>
    <col min="2" max="2" width="5.5" bestFit="1" customWidth="1"/>
    <col min="3" max="8" width="6.1640625" bestFit="1" customWidth="1"/>
    <col min="9" max="9" width="8.33203125" bestFit="1" customWidth="1"/>
    <col min="10" max="10" width="8" bestFit="1" customWidth="1"/>
    <col min="11" max="11" width="9" bestFit="1" customWidth="1"/>
    <col min="12" max="12" width="2.1640625" customWidth="1"/>
    <col min="13" max="13" width="17" bestFit="1" customWidth="1"/>
    <col min="14" max="15" width="9" bestFit="1" customWidth="1"/>
    <col min="16" max="16" width="7.83203125" bestFit="1" customWidth="1"/>
    <col min="17" max="17" width="7.33203125" bestFit="1" customWidth="1"/>
    <col min="18" max="18" width="9.33203125" bestFit="1" customWidth="1"/>
  </cols>
  <sheetData>
    <row r="1" spans="1:20" x14ac:dyDescent="0.2">
      <c r="A1" s="4" t="s">
        <v>0</v>
      </c>
      <c r="B1" s="4"/>
      <c r="C1" s="111" t="s">
        <v>86</v>
      </c>
      <c r="D1" s="111"/>
      <c r="E1" s="111"/>
      <c r="F1" s="111" t="s">
        <v>87</v>
      </c>
      <c r="G1" s="111"/>
      <c r="H1" s="111"/>
      <c r="M1" s="106" t="s">
        <v>103</v>
      </c>
      <c r="N1" s="106"/>
      <c r="O1" s="106"/>
      <c r="P1" s="106"/>
      <c r="Q1" s="106"/>
      <c r="R1" s="106"/>
    </row>
    <row r="2" spans="1:20" ht="51" x14ac:dyDescent="0.2">
      <c r="A2" s="25"/>
      <c r="B2" s="25" t="s">
        <v>71</v>
      </c>
      <c r="C2" s="25">
        <v>1</v>
      </c>
      <c r="D2" s="25">
        <v>2</v>
      </c>
      <c r="E2" s="28">
        <v>3</v>
      </c>
      <c r="F2" s="25">
        <v>1</v>
      </c>
      <c r="G2" s="25">
        <v>2</v>
      </c>
      <c r="H2" s="28">
        <v>3</v>
      </c>
      <c r="I2" s="35" t="s">
        <v>57</v>
      </c>
      <c r="J2" s="29" t="s">
        <v>74</v>
      </c>
      <c r="K2" s="29" t="s">
        <v>75</v>
      </c>
      <c r="L2" s="38"/>
      <c r="M2" s="2"/>
      <c r="N2" s="29" t="s">
        <v>77</v>
      </c>
      <c r="O2" s="25" t="s">
        <v>78</v>
      </c>
      <c r="P2" s="35" t="s">
        <v>79</v>
      </c>
      <c r="Q2" s="30" t="s">
        <v>88</v>
      </c>
    </row>
    <row r="3" spans="1:20" x14ac:dyDescent="0.2">
      <c r="A3" s="110" t="s">
        <v>3</v>
      </c>
      <c r="B3" s="11" t="s">
        <v>63</v>
      </c>
      <c r="C3" s="14" t="s">
        <v>64</v>
      </c>
      <c r="D3" s="14" t="s">
        <v>64</v>
      </c>
      <c r="E3" s="36">
        <v>30</v>
      </c>
      <c r="F3" s="14" t="s">
        <v>64</v>
      </c>
      <c r="G3" s="14" t="s">
        <v>64</v>
      </c>
      <c r="H3" s="36">
        <v>14</v>
      </c>
      <c r="I3" s="14">
        <v>0.01</v>
      </c>
      <c r="J3" s="22">
        <f>AVERAGE(E3,H3)</f>
        <v>22</v>
      </c>
      <c r="K3" s="9">
        <f>(J3/(0.01*I3))*0.2</f>
        <v>44000</v>
      </c>
      <c r="L3" s="1"/>
      <c r="M3" s="2" t="s">
        <v>115</v>
      </c>
      <c r="N3" s="9">
        <f>AVERAGE(K3:K4)</f>
        <v>44500</v>
      </c>
      <c r="O3" s="9">
        <f>STDEV(K3:K4)</f>
        <v>707.10678118654755</v>
      </c>
      <c r="P3" s="13">
        <v>6.0810810810810807</v>
      </c>
      <c r="Q3" s="2"/>
    </row>
    <row r="4" spans="1:20" x14ac:dyDescent="0.2">
      <c r="A4" s="110"/>
      <c r="B4" s="11" t="s">
        <v>65</v>
      </c>
      <c r="C4" s="14" t="s">
        <v>64</v>
      </c>
      <c r="D4" s="14" t="s">
        <v>64</v>
      </c>
      <c r="E4" s="36">
        <v>25</v>
      </c>
      <c r="F4" s="14" t="s">
        <v>64</v>
      </c>
      <c r="G4" s="14" t="s">
        <v>64</v>
      </c>
      <c r="H4" s="36">
        <v>20</v>
      </c>
      <c r="I4" s="14">
        <v>0.01</v>
      </c>
      <c r="J4" s="22">
        <f>AVERAGE(E4,H4)</f>
        <v>22.5</v>
      </c>
      <c r="K4" s="9">
        <f>(J4/(0.01*I4))*0.2</f>
        <v>45000</v>
      </c>
      <c r="L4" s="1"/>
      <c r="M4" s="2" t="s">
        <v>135</v>
      </c>
      <c r="N4" s="9">
        <f>AVERAGE(K5:K6)</f>
        <v>9950</v>
      </c>
      <c r="O4" s="9">
        <f>STDEV(K5:K6)</f>
        <v>777.81745930520231</v>
      </c>
      <c r="P4" s="13">
        <v>5.9845559845559846</v>
      </c>
      <c r="Q4" s="18">
        <f>TTEST(K3:K5,K6:K8,2,2)</f>
        <v>0.1371651306201305</v>
      </c>
    </row>
    <row r="5" spans="1:20" x14ac:dyDescent="0.2">
      <c r="A5" s="110" t="s">
        <v>135</v>
      </c>
      <c r="B5" s="102" t="s">
        <v>66</v>
      </c>
      <c r="C5" s="14" t="s">
        <v>64</v>
      </c>
      <c r="D5" s="36">
        <v>47</v>
      </c>
      <c r="E5" s="36"/>
      <c r="F5" s="14" t="s">
        <v>64</v>
      </c>
      <c r="G5" s="36">
        <v>47</v>
      </c>
      <c r="H5" s="36"/>
      <c r="I5" s="14">
        <v>0.1</v>
      </c>
      <c r="J5" s="22">
        <f>AVERAGE(D5,G5)</f>
        <v>47</v>
      </c>
      <c r="K5" s="9">
        <f>(J5/(0.01*I5))*0.2</f>
        <v>9400</v>
      </c>
      <c r="L5" s="1"/>
      <c r="M5" s="2" t="s">
        <v>122</v>
      </c>
      <c r="N5" s="9">
        <f>AVERAGE(K7:K8)</f>
        <v>11350</v>
      </c>
      <c r="O5" s="9">
        <f>STDEV(K7:K8)</f>
        <v>1060.6601717798212</v>
      </c>
      <c r="P5" s="13">
        <v>6.66023166023166</v>
      </c>
      <c r="Q5" s="18">
        <f>TTEST(K3:K5,K9:K11,2,2)</f>
        <v>0.12375975920781498</v>
      </c>
    </row>
    <row r="6" spans="1:20" x14ac:dyDescent="0.2">
      <c r="A6" s="110"/>
      <c r="B6" s="102" t="s">
        <v>67</v>
      </c>
      <c r="C6" s="36">
        <v>5</v>
      </c>
      <c r="D6" s="14"/>
      <c r="E6" s="36"/>
      <c r="F6" s="14" t="s">
        <v>64</v>
      </c>
      <c r="G6" s="36">
        <v>55</v>
      </c>
      <c r="H6" s="36"/>
      <c r="I6" s="14">
        <v>0.1</v>
      </c>
      <c r="J6" s="22">
        <f>AVERAGE((C6*10),G6)</f>
        <v>52.5</v>
      </c>
      <c r="K6" s="9">
        <f>(J6/(0.01*I6))*0.2</f>
        <v>10500</v>
      </c>
      <c r="L6" s="1"/>
      <c r="M6" s="2" t="s">
        <v>123</v>
      </c>
      <c r="N6" s="9">
        <f>AVERAGE(K9:K10)</f>
        <v>2900</v>
      </c>
      <c r="O6" s="9">
        <f>STDEV(K9:K10)</f>
        <v>4101.219330881976</v>
      </c>
      <c r="P6" s="13">
        <v>6.756756756756757</v>
      </c>
      <c r="Q6" s="18">
        <f>TTEST(K3:K5,K12:K14,2,2)</f>
        <v>0.17268001772406538</v>
      </c>
    </row>
    <row r="7" spans="1:20" ht="15" customHeight="1" x14ac:dyDescent="0.2">
      <c r="A7" s="109" t="s">
        <v>122</v>
      </c>
      <c r="B7" s="102" t="s">
        <v>68</v>
      </c>
      <c r="C7" s="14" t="s">
        <v>64</v>
      </c>
      <c r="D7" s="36">
        <v>56</v>
      </c>
      <c r="E7" s="36"/>
      <c r="F7" s="14" t="s">
        <v>64</v>
      </c>
      <c r="G7" s="36">
        <v>50</v>
      </c>
      <c r="H7" s="36"/>
      <c r="I7" s="14">
        <v>0.1</v>
      </c>
      <c r="J7" s="22">
        <f>AVERAGE(D7,G7)</f>
        <v>53</v>
      </c>
      <c r="K7" s="9">
        <f t="shared" ref="K7:K16" si="0">(J7/(0.01*I7))*0.2</f>
        <v>10600</v>
      </c>
      <c r="L7" s="1"/>
      <c r="M7" s="2" t="s">
        <v>124</v>
      </c>
      <c r="N7" s="9">
        <f>AVERAGE(K11:K12)</f>
        <v>20000</v>
      </c>
      <c r="O7" s="9">
        <f>STDEV(K11:K12)</f>
        <v>3111.2698372208092</v>
      </c>
      <c r="P7" s="13">
        <v>5.4054054054054053</v>
      </c>
      <c r="Q7" s="18">
        <f>TTEST(K3:K5,K15:K18,2,2)</f>
        <v>2.0749772109445858E-2</v>
      </c>
    </row>
    <row r="8" spans="1:20" ht="15" customHeight="1" x14ac:dyDescent="0.2">
      <c r="A8" s="109"/>
      <c r="B8" s="102" t="s">
        <v>69</v>
      </c>
      <c r="C8" s="14" t="s">
        <v>64</v>
      </c>
      <c r="D8" s="36">
        <v>62</v>
      </c>
      <c r="E8" s="36"/>
      <c r="F8" s="14" t="s">
        <v>64</v>
      </c>
      <c r="G8" s="36">
        <v>59</v>
      </c>
      <c r="H8" s="36"/>
      <c r="I8" s="14">
        <v>0.1</v>
      </c>
      <c r="J8" s="22">
        <f>AVERAGE(D8,G8)</f>
        <v>60.5</v>
      </c>
      <c r="K8" s="9">
        <f t="shared" si="0"/>
        <v>12100</v>
      </c>
      <c r="L8" s="1"/>
      <c r="M8" s="2" t="s">
        <v>125</v>
      </c>
      <c r="N8" s="9">
        <f>AVERAGE(K13:K14)</f>
        <v>4900</v>
      </c>
      <c r="O8" s="9">
        <f>STDEV(K13:K14)</f>
        <v>6929.6464556281653</v>
      </c>
      <c r="P8" s="13">
        <v>7.8185328185328187</v>
      </c>
      <c r="Q8" s="18" t="e">
        <f>TTEST(K3:K5,#REF!,2,2)</f>
        <v>#REF!</v>
      </c>
    </row>
    <row r="9" spans="1:20" ht="15" customHeight="1" x14ac:dyDescent="0.2">
      <c r="A9" s="109" t="s">
        <v>123</v>
      </c>
      <c r="B9" s="102" t="s">
        <v>137</v>
      </c>
      <c r="C9" s="14" t="s">
        <v>64</v>
      </c>
      <c r="D9" s="36">
        <v>24</v>
      </c>
      <c r="E9" s="14"/>
      <c r="F9" s="14" t="s">
        <v>64</v>
      </c>
      <c r="G9" s="36">
        <v>34</v>
      </c>
      <c r="H9" s="14"/>
      <c r="I9" s="14">
        <v>0.1</v>
      </c>
      <c r="J9" s="22">
        <f>AVERAGE(D9,G9)</f>
        <v>29</v>
      </c>
      <c r="K9" s="9">
        <f t="shared" si="0"/>
        <v>5800</v>
      </c>
      <c r="L9" s="1"/>
      <c r="M9" s="2" t="s">
        <v>128</v>
      </c>
      <c r="N9" s="9">
        <f>AVERAGE(K15:K16)</f>
        <v>350</v>
      </c>
      <c r="O9" s="9">
        <f>STDEV(K15:K16)</f>
        <v>56.568542494923804</v>
      </c>
      <c r="P9" s="49"/>
      <c r="Q9" s="49"/>
      <c r="R9" s="50"/>
    </row>
    <row r="10" spans="1:20" x14ac:dyDescent="0.2">
      <c r="A10" s="109"/>
      <c r="B10" s="102" t="s">
        <v>138</v>
      </c>
      <c r="C10" s="36">
        <v>0</v>
      </c>
      <c r="D10" s="36"/>
      <c r="E10" s="14"/>
      <c r="F10" s="36">
        <v>0</v>
      </c>
      <c r="G10" s="36"/>
      <c r="H10" s="14"/>
      <c r="I10" s="14">
        <v>1</v>
      </c>
      <c r="J10" s="2">
        <f>AVERAGE(C10,F10)</f>
        <v>0</v>
      </c>
      <c r="K10" s="9">
        <f t="shared" si="0"/>
        <v>0</v>
      </c>
      <c r="L10" s="1"/>
      <c r="M10" s="2" t="s">
        <v>126</v>
      </c>
      <c r="N10" s="9">
        <f>AVERAGE(K17:K18)</f>
        <v>6</v>
      </c>
      <c r="O10" s="9">
        <f>STDEV(K17:K18)</f>
        <v>2.8284271247461903</v>
      </c>
      <c r="P10" s="49"/>
      <c r="Q10" s="51"/>
      <c r="R10" s="50"/>
    </row>
    <row r="11" spans="1:20" ht="15" customHeight="1" x14ac:dyDescent="0.2">
      <c r="A11" s="109" t="s">
        <v>124</v>
      </c>
      <c r="B11" s="102" t="s">
        <v>139</v>
      </c>
      <c r="C11" s="14" t="s">
        <v>64</v>
      </c>
      <c r="D11" s="36">
        <v>86</v>
      </c>
      <c r="E11" s="14"/>
      <c r="F11" s="14" t="s">
        <v>64</v>
      </c>
      <c r="G11" s="36">
        <v>92</v>
      </c>
      <c r="H11" s="14"/>
      <c r="I11" s="14">
        <v>0.1</v>
      </c>
      <c r="J11" s="2">
        <f>AVERAGE(D11,G11)</f>
        <v>89</v>
      </c>
      <c r="K11" s="9">
        <f t="shared" si="0"/>
        <v>17800</v>
      </c>
      <c r="L11" s="1"/>
      <c r="M11" s="44"/>
      <c r="N11" s="40"/>
      <c r="O11" s="40"/>
      <c r="P11" s="49"/>
      <c r="Q11" s="51"/>
      <c r="R11" s="50"/>
    </row>
    <row r="12" spans="1:20" ht="16" customHeight="1" x14ac:dyDescent="0.2">
      <c r="A12" s="109"/>
      <c r="B12" s="102" t="s">
        <v>140</v>
      </c>
      <c r="C12" s="14" t="s">
        <v>64</v>
      </c>
      <c r="D12" s="36">
        <v>92</v>
      </c>
      <c r="E12" s="36"/>
      <c r="F12" s="14" t="s">
        <v>64</v>
      </c>
      <c r="G12" s="14" t="s">
        <v>64</v>
      </c>
      <c r="H12" s="36">
        <v>13</v>
      </c>
      <c r="I12" s="14">
        <v>0.1</v>
      </c>
      <c r="J12" s="22">
        <f>AVERAGE(D12,H12*10)</f>
        <v>111</v>
      </c>
      <c r="K12" s="9">
        <f t="shared" si="0"/>
        <v>22200</v>
      </c>
      <c r="L12" s="1"/>
      <c r="M12" s="44"/>
      <c r="N12" s="40"/>
      <c r="O12" s="40"/>
      <c r="P12" s="49"/>
      <c r="Q12" s="51"/>
      <c r="R12" s="50"/>
      <c r="T12" s="1"/>
    </row>
    <row r="13" spans="1:20" ht="15" customHeight="1" x14ac:dyDescent="0.2">
      <c r="A13" s="109" t="s">
        <v>125</v>
      </c>
      <c r="B13" s="102" t="s">
        <v>141</v>
      </c>
      <c r="C13" s="36">
        <v>0</v>
      </c>
      <c r="D13" s="69"/>
      <c r="E13" s="36"/>
      <c r="F13" s="36">
        <v>0</v>
      </c>
      <c r="G13" s="69"/>
      <c r="H13" s="36"/>
      <c r="I13" s="14">
        <v>1</v>
      </c>
      <c r="J13" s="22">
        <f>AVERAGE(C13,F13)</f>
        <v>0</v>
      </c>
      <c r="K13" s="9">
        <f t="shared" si="0"/>
        <v>0</v>
      </c>
      <c r="L13" s="1"/>
      <c r="M13" s="49"/>
      <c r="N13" s="49"/>
      <c r="O13" s="49"/>
      <c r="P13" s="49"/>
      <c r="Q13" s="49"/>
      <c r="R13" s="49"/>
    </row>
    <row r="14" spans="1:20" x14ac:dyDescent="0.2">
      <c r="A14" s="109"/>
      <c r="B14" s="102" t="s">
        <v>142</v>
      </c>
      <c r="C14" s="14" t="s">
        <v>64</v>
      </c>
      <c r="D14" s="36">
        <v>42</v>
      </c>
      <c r="E14" s="36"/>
      <c r="F14" s="14" t="s">
        <v>64</v>
      </c>
      <c r="G14" s="36">
        <v>56</v>
      </c>
      <c r="H14" s="36"/>
      <c r="I14" s="14">
        <v>0.1</v>
      </c>
      <c r="J14" s="22">
        <f>AVERAGE(D14,G14)</f>
        <v>49</v>
      </c>
      <c r="K14" s="9">
        <f t="shared" si="0"/>
        <v>9800</v>
      </c>
      <c r="L14" s="1"/>
      <c r="M14" s="49"/>
      <c r="N14" s="49"/>
      <c r="O14" s="49"/>
      <c r="P14" s="49"/>
      <c r="Q14" s="49"/>
      <c r="R14" s="49"/>
    </row>
    <row r="15" spans="1:20" ht="16" customHeight="1" x14ac:dyDescent="0.2">
      <c r="A15" s="109" t="s">
        <v>128</v>
      </c>
      <c r="B15" s="102" t="s">
        <v>90</v>
      </c>
      <c r="C15" s="36">
        <v>39</v>
      </c>
      <c r="D15" s="14"/>
      <c r="E15" s="36"/>
      <c r="F15" s="39">
        <v>0</v>
      </c>
      <c r="G15" s="14"/>
      <c r="H15" s="36"/>
      <c r="I15" s="14">
        <v>1</v>
      </c>
      <c r="J15" s="2">
        <f>AVERAGE(C15,F15)</f>
        <v>19.5</v>
      </c>
      <c r="K15" s="9">
        <f t="shared" si="0"/>
        <v>390</v>
      </c>
      <c r="L15" s="1"/>
      <c r="M15" s="49"/>
      <c r="N15" s="49"/>
      <c r="O15" s="49"/>
      <c r="P15" s="49"/>
      <c r="Q15" s="49"/>
      <c r="R15" s="49"/>
    </row>
    <row r="16" spans="1:20" x14ac:dyDescent="0.2">
      <c r="A16" s="109"/>
      <c r="B16" s="102" t="s">
        <v>91</v>
      </c>
      <c r="C16" s="36">
        <v>31</v>
      </c>
      <c r="D16" s="36"/>
      <c r="E16" s="36"/>
      <c r="F16" s="36">
        <v>0</v>
      </c>
      <c r="G16" s="36"/>
      <c r="H16" s="36"/>
      <c r="I16" s="14">
        <v>1</v>
      </c>
      <c r="J16" s="2">
        <f>AVERAGE(C16,F16)</f>
        <v>15.5</v>
      </c>
      <c r="K16" s="9">
        <f t="shared" si="0"/>
        <v>310</v>
      </c>
      <c r="L16" s="1"/>
      <c r="M16" s="49"/>
      <c r="N16" s="49"/>
      <c r="O16" s="49"/>
      <c r="P16" s="49"/>
      <c r="Q16" s="49"/>
      <c r="R16" s="49"/>
    </row>
    <row r="17" spans="1:20" x14ac:dyDescent="0.2">
      <c r="A17" s="110" t="s">
        <v>143</v>
      </c>
      <c r="B17" s="102" t="s">
        <v>92</v>
      </c>
      <c r="C17" s="36">
        <v>3</v>
      </c>
      <c r="D17" s="36"/>
      <c r="E17" s="36"/>
      <c r="F17" s="36">
        <v>1</v>
      </c>
      <c r="G17" s="36"/>
      <c r="H17" s="36"/>
      <c r="I17" s="14">
        <v>1</v>
      </c>
      <c r="J17" s="2">
        <f>AVERAGE(C17,F17)</f>
        <v>2</v>
      </c>
      <c r="K17" s="9">
        <f>(J17/(0.05*I17))*0.2</f>
        <v>8</v>
      </c>
      <c r="L17" s="1"/>
      <c r="M17" s="49"/>
      <c r="N17" s="49"/>
      <c r="O17" s="49"/>
      <c r="P17" s="49"/>
      <c r="Q17" s="49"/>
      <c r="R17" s="49"/>
    </row>
    <row r="18" spans="1:20" x14ac:dyDescent="0.2">
      <c r="A18" s="110"/>
      <c r="B18" s="102" t="s">
        <v>93</v>
      </c>
      <c r="C18" s="36">
        <v>0</v>
      </c>
      <c r="D18" s="36"/>
      <c r="E18" s="36"/>
      <c r="F18" s="36">
        <v>2</v>
      </c>
      <c r="G18" s="36"/>
      <c r="H18" s="36"/>
      <c r="I18" s="14">
        <v>1</v>
      </c>
      <c r="J18" s="2">
        <f>AVERAGE(C18,F18)</f>
        <v>1</v>
      </c>
      <c r="K18" s="9">
        <f>(J18/(0.05*I18))*0.2</f>
        <v>4</v>
      </c>
      <c r="L18" s="1"/>
      <c r="M18" s="49"/>
      <c r="N18" s="49"/>
      <c r="O18" s="49"/>
      <c r="P18" s="49"/>
      <c r="Q18" s="49"/>
      <c r="R18" s="49"/>
    </row>
    <row r="19" spans="1:20" ht="15" customHeight="1" x14ac:dyDescent="0.2">
      <c r="A19" s="103" t="s">
        <v>70</v>
      </c>
      <c r="B19" s="2"/>
      <c r="C19" s="2">
        <v>1</v>
      </c>
      <c r="D19" s="2">
        <f>C19/10</f>
        <v>0.1</v>
      </c>
      <c r="E19" s="2">
        <f>D19/10</f>
        <v>0.01</v>
      </c>
      <c r="F19" s="2">
        <v>1</v>
      </c>
      <c r="G19" s="2">
        <f>F19/10</f>
        <v>0.1</v>
      </c>
      <c r="H19" s="2">
        <f>G19/10</f>
        <v>0.01</v>
      </c>
      <c r="K19" s="1"/>
      <c r="L19" s="1"/>
      <c r="M19" s="44"/>
      <c r="N19" s="40"/>
      <c r="O19" s="40"/>
      <c r="P19" s="49"/>
      <c r="Q19" s="49"/>
      <c r="R19" s="50"/>
    </row>
    <row r="20" spans="1:20" x14ac:dyDescent="0.2">
      <c r="A20" s="108" t="s">
        <v>89</v>
      </c>
      <c r="B20" s="108"/>
      <c r="C20" s="108"/>
      <c r="L20" s="1"/>
      <c r="M20" s="44"/>
      <c r="N20" s="40"/>
      <c r="O20" s="40"/>
      <c r="P20" s="49"/>
      <c r="Q20" s="51"/>
      <c r="R20" s="50"/>
    </row>
    <row r="21" spans="1:20" ht="15" customHeight="1" x14ac:dyDescent="0.2">
      <c r="D21" s="37"/>
      <c r="L21" s="1"/>
      <c r="M21" s="44"/>
      <c r="N21" s="40"/>
      <c r="O21" s="40"/>
      <c r="P21" s="49"/>
      <c r="Q21" s="51"/>
      <c r="R21" s="50"/>
    </row>
    <row r="22" spans="1:20" ht="16" customHeight="1" x14ac:dyDescent="0.2">
      <c r="L22" s="1"/>
      <c r="M22" s="44"/>
      <c r="N22" s="40"/>
      <c r="O22" s="40"/>
      <c r="P22" s="49"/>
      <c r="Q22" s="51"/>
      <c r="R22" s="50"/>
      <c r="T22" s="1"/>
    </row>
    <row r="23" spans="1:20" ht="15" customHeight="1" x14ac:dyDescent="0.2">
      <c r="L23" s="1"/>
      <c r="M23" s="49"/>
      <c r="N23" s="49"/>
      <c r="O23" s="49"/>
      <c r="P23" s="49"/>
      <c r="Q23" s="49"/>
      <c r="R23" s="49"/>
    </row>
    <row r="24" spans="1:20" x14ac:dyDescent="0.2">
      <c r="L24" s="1"/>
      <c r="M24" s="49"/>
      <c r="N24" s="49"/>
      <c r="O24" s="49"/>
      <c r="P24" s="49"/>
      <c r="Q24" s="49"/>
      <c r="R24" s="49"/>
    </row>
    <row r="25" spans="1:20" x14ac:dyDescent="0.2">
      <c r="L25" s="1"/>
    </row>
    <row r="26" spans="1:20" x14ac:dyDescent="0.2">
      <c r="L26" s="1"/>
    </row>
    <row r="27" spans="1:20" x14ac:dyDescent="0.2">
      <c r="H27" s="1"/>
      <c r="L27" s="1"/>
    </row>
    <row r="28" spans="1:20" x14ac:dyDescent="0.2">
      <c r="H28" s="1"/>
      <c r="L28" s="1"/>
    </row>
    <row r="29" spans="1:20" ht="15" customHeight="1" x14ac:dyDescent="0.2">
      <c r="L29" s="1"/>
    </row>
    <row r="30" spans="1:20" ht="15" customHeight="1" x14ac:dyDescent="0.2">
      <c r="L30" s="1"/>
    </row>
    <row r="31" spans="1:20" ht="15" customHeight="1" x14ac:dyDescent="0.2">
      <c r="L31" s="1"/>
    </row>
    <row r="32" spans="1:20" x14ac:dyDescent="0.2">
      <c r="L32" s="1"/>
    </row>
    <row r="33" spans="12:12" ht="15" customHeight="1" x14ac:dyDescent="0.2">
      <c r="L33" s="1"/>
    </row>
    <row r="34" spans="12:12" ht="16" customHeight="1" x14ac:dyDescent="0.2">
      <c r="L34" s="1"/>
    </row>
    <row r="35" spans="12:12" ht="15" customHeight="1" x14ac:dyDescent="0.2">
      <c r="L35" s="1"/>
    </row>
    <row r="36" spans="12:12" x14ac:dyDescent="0.2">
      <c r="L36" s="1"/>
    </row>
    <row r="37" spans="12:12" x14ac:dyDescent="0.2">
      <c r="L37" s="1"/>
    </row>
    <row r="38" spans="12:12" x14ac:dyDescent="0.2">
      <c r="L38" s="1"/>
    </row>
    <row r="39" spans="12:12" x14ac:dyDescent="0.2">
      <c r="L39" s="1"/>
    </row>
  </sheetData>
  <mergeCells count="12">
    <mergeCell ref="A20:C20"/>
    <mergeCell ref="A13:A14"/>
    <mergeCell ref="A15:A16"/>
    <mergeCell ref="A17:A18"/>
    <mergeCell ref="M1:R1"/>
    <mergeCell ref="C1:E1"/>
    <mergeCell ref="F1:H1"/>
    <mergeCell ref="A3:A4"/>
    <mergeCell ref="A5:A6"/>
    <mergeCell ref="A7:A8"/>
    <mergeCell ref="A9:A10"/>
    <mergeCell ref="A11:A12"/>
  </mergeCells>
  <pageMargins left="0.75" right="0.75" top="1" bottom="1" header="0.5" footer="0.5"/>
  <pageSetup scale="17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0A7C-E09B-4F01-87CD-1344538A550F}">
  <dimension ref="A1:G10"/>
  <sheetViews>
    <sheetView workbookViewId="0">
      <selection sqref="A1:G10"/>
    </sheetView>
  </sheetViews>
  <sheetFormatPr baseColWidth="10" defaultColWidth="10.6640625" defaultRowHeight="16" x14ac:dyDescent="0.2"/>
  <cols>
    <col min="1" max="1" width="5.1640625" bestFit="1" customWidth="1"/>
    <col min="2" max="2" width="13.5" bestFit="1" customWidth="1"/>
    <col min="3" max="3" width="9.83203125" customWidth="1"/>
    <col min="4" max="4" width="5.5" bestFit="1" customWidth="1"/>
    <col min="5" max="5" width="6.5" bestFit="1" customWidth="1"/>
    <col min="6" max="6" width="4.5" bestFit="1" customWidth="1"/>
    <col min="7" max="7" width="14.5" customWidth="1"/>
    <col min="12" max="12" width="26.6640625" bestFit="1" customWidth="1"/>
  </cols>
  <sheetData>
    <row r="1" spans="1:7" ht="34" customHeight="1" x14ac:dyDescent="0.2">
      <c r="A1" s="56"/>
      <c r="B1" s="56"/>
      <c r="C1" s="56"/>
      <c r="D1" s="112" t="s">
        <v>136</v>
      </c>
      <c r="E1" s="112"/>
      <c r="F1" s="56"/>
      <c r="G1" s="56"/>
    </row>
    <row r="2" spans="1:7" ht="24" x14ac:dyDescent="0.2">
      <c r="A2" s="98" t="s">
        <v>45</v>
      </c>
      <c r="B2" s="98" t="s">
        <v>46</v>
      </c>
      <c r="C2" s="99" t="s">
        <v>47</v>
      </c>
      <c r="D2" s="99" t="s">
        <v>48</v>
      </c>
      <c r="E2" s="99" t="s">
        <v>116</v>
      </c>
      <c r="F2" s="99" t="s">
        <v>50</v>
      </c>
      <c r="G2" s="99" t="s">
        <v>51</v>
      </c>
    </row>
    <row r="3" spans="1:7" x14ac:dyDescent="0.2">
      <c r="A3" s="98">
        <v>1</v>
      </c>
      <c r="B3" s="59" t="s">
        <v>3</v>
      </c>
      <c r="C3" s="59">
        <v>2.04</v>
      </c>
      <c r="D3" s="100">
        <f>1300*0.04/C3</f>
        <v>25.490196078431371</v>
      </c>
      <c r="E3" s="100">
        <f>1300-D3</f>
        <v>1274.5098039215686</v>
      </c>
      <c r="F3" s="59">
        <v>4.5999999999999999E-2</v>
      </c>
      <c r="G3" s="101">
        <f>0.0004*1000/F3</f>
        <v>8.6956521739130448</v>
      </c>
    </row>
    <row r="4" spans="1:7" x14ac:dyDescent="0.2">
      <c r="A4" s="98">
        <v>2</v>
      </c>
      <c r="B4" s="59" t="s">
        <v>135</v>
      </c>
      <c r="C4" s="59">
        <v>2.44</v>
      </c>
      <c r="D4" s="100">
        <f t="shared" ref="D4:D10" si="0">1300*0.04/C4</f>
        <v>21.311475409836067</v>
      </c>
      <c r="E4" s="100">
        <f t="shared" ref="E4:E10" si="1">1300-D4</f>
        <v>1278.688524590164</v>
      </c>
      <c r="F4" s="59">
        <v>4.4999999999999998E-2</v>
      </c>
      <c r="G4" s="101">
        <f t="shared" ref="G4:G10" si="2">0.0004*1000/F4</f>
        <v>8.8888888888888893</v>
      </c>
    </row>
    <row r="5" spans="1:7" x14ac:dyDescent="0.2">
      <c r="A5" s="98">
        <v>3</v>
      </c>
      <c r="B5" s="59" t="s">
        <v>122</v>
      </c>
      <c r="C5" s="59">
        <v>2.64</v>
      </c>
      <c r="D5" s="100">
        <f t="shared" si="0"/>
        <v>19.696969696969695</v>
      </c>
      <c r="E5" s="100">
        <f t="shared" si="1"/>
        <v>1280.3030303030303</v>
      </c>
      <c r="F5" s="59">
        <v>0.04</v>
      </c>
      <c r="G5" s="101">
        <f t="shared" si="2"/>
        <v>10</v>
      </c>
    </row>
    <row r="6" spans="1:7" x14ac:dyDescent="0.2">
      <c r="A6" s="98">
        <v>4</v>
      </c>
      <c r="B6" s="59" t="s">
        <v>123</v>
      </c>
      <c r="C6" s="59">
        <v>2.9</v>
      </c>
      <c r="D6" s="100">
        <f t="shared" si="0"/>
        <v>17.931034482758623</v>
      </c>
      <c r="E6" s="100">
        <f t="shared" si="1"/>
        <v>1282.0689655172414</v>
      </c>
      <c r="F6" s="59">
        <v>0.05</v>
      </c>
      <c r="G6" s="101">
        <f t="shared" si="2"/>
        <v>8</v>
      </c>
    </row>
    <row r="7" spans="1:7" x14ac:dyDescent="0.2">
      <c r="A7" s="98">
        <v>5</v>
      </c>
      <c r="B7" s="59" t="s">
        <v>124</v>
      </c>
      <c r="C7" s="59">
        <v>2.68</v>
      </c>
      <c r="D7" s="100">
        <f t="shared" si="0"/>
        <v>19.402985074626866</v>
      </c>
      <c r="E7" s="100">
        <f t="shared" si="1"/>
        <v>1280.5970149253731</v>
      </c>
      <c r="F7" s="59">
        <v>3.7999999999999999E-2</v>
      </c>
      <c r="G7" s="101">
        <f t="shared" si="2"/>
        <v>10.526315789473685</v>
      </c>
    </row>
    <row r="8" spans="1:7" x14ac:dyDescent="0.2">
      <c r="A8" s="98">
        <v>6</v>
      </c>
      <c r="B8" s="59" t="s">
        <v>125</v>
      </c>
      <c r="C8" s="59">
        <v>3.98</v>
      </c>
      <c r="D8" s="100">
        <f t="shared" si="0"/>
        <v>13.06532663316583</v>
      </c>
      <c r="E8" s="100">
        <f t="shared" si="1"/>
        <v>1286.9346733668342</v>
      </c>
      <c r="F8" s="59">
        <v>3.4000000000000002E-2</v>
      </c>
      <c r="G8" s="101">
        <f t="shared" si="2"/>
        <v>11.76470588235294</v>
      </c>
    </row>
    <row r="9" spans="1:7" x14ac:dyDescent="0.2">
      <c r="A9" s="98">
        <v>7</v>
      </c>
      <c r="B9" s="59" t="s">
        <v>128</v>
      </c>
      <c r="C9" s="59">
        <v>3.23</v>
      </c>
      <c r="D9" s="100">
        <f t="shared" si="0"/>
        <v>16.099071207430342</v>
      </c>
      <c r="E9" s="100">
        <f t="shared" si="1"/>
        <v>1283.9009287925696</v>
      </c>
      <c r="F9" s="59">
        <v>3.2000000000000001E-2</v>
      </c>
      <c r="G9" s="101">
        <f t="shared" si="2"/>
        <v>12.5</v>
      </c>
    </row>
    <row r="10" spans="1:7" x14ac:dyDescent="0.2">
      <c r="A10" s="98">
        <v>8</v>
      </c>
      <c r="B10" s="59" t="s">
        <v>126</v>
      </c>
      <c r="C10" s="59">
        <v>3.19</v>
      </c>
      <c r="D10" s="100">
        <f t="shared" si="0"/>
        <v>16.300940438871475</v>
      </c>
      <c r="E10" s="100">
        <f t="shared" si="1"/>
        <v>1283.6990595611285</v>
      </c>
      <c r="F10" s="59">
        <v>3.2000000000000001E-2</v>
      </c>
      <c r="G10" s="101">
        <f t="shared" si="2"/>
        <v>12.5</v>
      </c>
    </row>
  </sheetData>
  <mergeCells count="1">
    <mergeCell ref="D1:E1"/>
  </mergeCells>
  <pageMargins left="0.25" right="0.25" top="0.75" bottom="0.75" header="0.3" footer="0.3"/>
  <pageSetup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4700-43F2-4A60-9083-142E0D60CEE8}">
  <sheetPr>
    <pageSetUpPr fitToPage="1"/>
  </sheetPr>
  <dimension ref="A1:N29"/>
  <sheetViews>
    <sheetView showRuler="0" workbookViewId="0">
      <selection activeCell="B9" sqref="B9:L10"/>
    </sheetView>
  </sheetViews>
  <sheetFormatPr baseColWidth="10" defaultColWidth="10.6640625" defaultRowHeight="16" x14ac:dyDescent="0.2"/>
  <cols>
    <col min="1" max="1" width="20.5" bestFit="1" customWidth="1"/>
    <col min="2" max="2" width="9" bestFit="1" customWidth="1"/>
    <col min="3" max="3" width="8.6640625" customWidth="1"/>
    <col min="4" max="5" width="6" bestFit="1" customWidth="1"/>
    <col min="6" max="6" width="8.1640625" bestFit="1" customWidth="1"/>
    <col min="7" max="8" width="9.33203125" bestFit="1" customWidth="1"/>
    <col min="9" max="9" width="10.1640625" customWidth="1"/>
    <col min="10" max="11" width="8.83203125" bestFit="1" customWidth="1"/>
    <col min="12" max="12" width="22.5" bestFit="1" customWidth="1"/>
    <col min="13" max="13" width="10.1640625" bestFit="1" customWidth="1"/>
  </cols>
  <sheetData>
    <row r="1" spans="1:14" x14ac:dyDescent="0.2">
      <c r="A1" s="25" t="s">
        <v>55</v>
      </c>
      <c r="B1" s="26"/>
      <c r="C1" s="113"/>
      <c r="D1" s="113"/>
      <c r="E1" s="113"/>
    </row>
    <row r="2" spans="1:14" ht="51" x14ac:dyDescent="0.2">
      <c r="A2" s="25"/>
      <c r="B2" s="27" t="s">
        <v>56</v>
      </c>
      <c r="C2" s="25">
        <v>2</v>
      </c>
      <c r="D2" s="25">
        <v>3</v>
      </c>
      <c r="E2" s="28">
        <v>4</v>
      </c>
      <c r="F2" s="29" t="s">
        <v>57</v>
      </c>
      <c r="G2" s="29" t="s">
        <v>58</v>
      </c>
      <c r="H2" s="29" t="s">
        <v>59</v>
      </c>
      <c r="I2" s="29" t="s">
        <v>60</v>
      </c>
      <c r="J2" s="29" t="s">
        <v>61</v>
      </c>
      <c r="K2" s="29" t="s">
        <v>60</v>
      </c>
      <c r="L2" s="30" t="s">
        <v>62</v>
      </c>
    </row>
    <row r="3" spans="1:14" x14ac:dyDescent="0.2">
      <c r="A3" s="110" t="s">
        <v>3</v>
      </c>
      <c r="B3" s="11" t="s">
        <v>63</v>
      </c>
      <c r="C3" s="14" t="s">
        <v>64</v>
      </c>
      <c r="D3" s="14" t="s">
        <v>64</v>
      </c>
      <c r="E3" s="14">
        <v>29</v>
      </c>
      <c r="F3" s="14">
        <v>1E-3</v>
      </c>
      <c r="G3" s="15">
        <f>E3/(F3*0.01)</f>
        <v>2899999.9999999995</v>
      </c>
      <c r="H3" s="9">
        <f>AVERAGE(G3:G4)</f>
        <v>2049999.9999999998</v>
      </c>
      <c r="I3" s="9">
        <f>STDEV(G3:G4)</f>
        <v>1202081.52801713</v>
      </c>
      <c r="J3" s="9">
        <f>H3*0.05</f>
        <v>102500</v>
      </c>
      <c r="K3" s="9">
        <f>I3*0.05</f>
        <v>60104.076400856502</v>
      </c>
      <c r="L3" s="13">
        <f>J3/$N$4</f>
        <v>4.8809523809523814</v>
      </c>
    </row>
    <row r="4" spans="1:14" x14ac:dyDescent="0.2">
      <c r="A4" s="110"/>
      <c r="B4" s="11" t="s">
        <v>65</v>
      </c>
      <c r="C4" s="14" t="s">
        <v>64</v>
      </c>
      <c r="D4" s="14" t="s">
        <v>64</v>
      </c>
      <c r="E4" s="14">
        <v>12</v>
      </c>
      <c r="F4" s="14">
        <v>1E-3</v>
      </c>
      <c r="G4" s="15">
        <f t="shared" ref="G4:G17" si="0">E4/(F4*0.01)</f>
        <v>1200000</v>
      </c>
      <c r="H4" s="9"/>
      <c r="I4" s="9"/>
      <c r="J4" s="9"/>
      <c r="K4" s="9"/>
      <c r="L4" s="13"/>
      <c r="N4" s="1">
        <v>21000</v>
      </c>
    </row>
    <row r="5" spans="1:14" x14ac:dyDescent="0.2">
      <c r="A5" s="110" t="s">
        <v>135</v>
      </c>
      <c r="B5" s="102" t="s">
        <v>66</v>
      </c>
      <c r="C5" s="14" t="s">
        <v>64</v>
      </c>
      <c r="D5" s="14" t="s">
        <v>64</v>
      </c>
      <c r="E5" s="14">
        <v>22</v>
      </c>
      <c r="F5" s="14">
        <v>1E-3</v>
      </c>
      <c r="G5" s="15">
        <f t="shared" si="0"/>
        <v>2200000</v>
      </c>
      <c r="H5" s="9">
        <f>AVERAGE(G5:G6)</f>
        <v>2600000</v>
      </c>
      <c r="I5" s="9">
        <f>STDEV(G5:G6)</f>
        <v>565685.42494923633</v>
      </c>
      <c r="J5" s="9">
        <f>H5*0.05</f>
        <v>130000</v>
      </c>
      <c r="K5" s="9">
        <f>I5*0.05</f>
        <v>28284.271247461817</v>
      </c>
      <c r="L5" s="13">
        <f>J5/$N$4</f>
        <v>6.1904761904761907</v>
      </c>
    </row>
    <row r="6" spans="1:14" x14ac:dyDescent="0.2">
      <c r="A6" s="110"/>
      <c r="B6" s="102" t="s">
        <v>67</v>
      </c>
      <c r="C6" s="14" t="s">
        <v>64</v>
      </c>
      <c r="D6" s="14" t="s">
        <v>64</v>
      </c>
      <c r="E6" s="14">
        <v>30</v>
      </c>
      <c r="F6" s="14">
        <v>1E-3</v>
      </c>
      <c r="G6" s="15">
        <f t="shared" si="0"/>
        <v>2999999.9999999995</v>
      </c>
      <c r="H6" s="22"/>
      <c r="I6" s="22"/>
      <c r="J6" s="9"/>
      <c r="K6" s="9"/>
      <c r="L6" s="13"/>
    </row>
    <row r="7" spans="1:14" x14ac:dyDescent="0.2">
      <c r="A7" s="109" t="s">
        <v>122</v>
      </c>
      <c r="B7" s="102" t="s">
        <v>68</v>
      </c>
      <c r="C7" s="14" t="s">
        <v>64</v>
      </c>
      <c r="D7" s="14" t="s">
        <v>64</v>
      </c>
      <c r="E7" s="14">
        <v>19</v>
      </c>
      <c r="F7" s="14">
        <v>1E-3</v>
      </c>
      <c r="G7" s="15">
        <f t="shared" si="0"/>
        <v>1899999.9999999998</v>
      </c>
      <c r="H7" s="9">
        <f>AVERAGE(G7:G8)</f>
        <v>1799999.9999999998</v>
      </c>
      <c r="I7" s="9">
        <f>STDEV(G7:G8)</f>
        <v>141421.35623730952</v>
      </c>
      <c r="J7" s="9">
        <f>H7*0.05</f>
        <v>90000</v>
      </c>
      <c r="K7" s="9">
        <f>I7*0.05</f>
        <v>7071.067811865476</v>
      </c>
      <c r="L7" s="13">
        <f>J7/$N$4</f>
        <v>4.2857142857142856</v>
      </c>
    </row>
    <row r="8" spans="1:14" x14ac:dyDescent="0.2">
      <c r="A8" s="109"/>
      <c r="B8" s="102" t="s">
        <v>69</v>
      </c>
      <c r="C8" s="14" t="s">
        <v>64</v>
      </c>
      <c r="D8" s="14" t="s">
        <v>64</v>
      </c>
      <c r="E8" s="14">
        <v>17</v>
      </c>
      <c r="F8" s="14">
        <v>1E-3</v>
      </c>
      <c r="G8" s="15">
        <f t="shared" si="0"/>
        <v>1699999.9999999998</v>
      </c>
      <c r="H8" s="22"/>
      <c r="I8" s="22"/>
      <c r="J8" s="9"/>
      <c r="K8" s="9"/>
      <c r="L8" s="13"/>
    </row>
    <row r="9" spans="1:14" ht="16" customHeight="1" x14ac:dyDescent="0.2">
      <c r="A9" s="109" t="s">
        <v>123</v>
      </c>
      <c r="B9" s="102" t="s">
        <v>137</v>
      </c>
      <c r="C9" s="14" t="s">
        <v>64</v>
      </c>
      <c r="D9" s="14" t="s">
        <v>64</v>
      </c>
      <c r="E9" s="14">
        <v>23</v>
      </c>
      <c r="F9" s="14">
        <v>1E-3</v>
      </c>
      <c r="G9" s="15">
        <f t="shared" si="0"/>
        <v>2300000</v>
      </c>
      <c r="H9" s="9">
        <f>AVERAGE(G9:G10)</f>
        <v>2150000</v>
      </c>
      <c r="I9" s="9">
        <f>STDEV(G9:G10)</f>
        <v>212132.03435596442</v>
      </c>
      <c r="J9" s="9">
        <f>H9*0.05</f>
        <v>107500</v>
      </c>
      <c r="K9" s="9">
        <f>I9*0.05</f>
        <v>10606.601717798221</v>
      </c>
      <c r="L9" s="13">
        <f>J9/$N$4</f>
        <v>5.1190476190476186</v>
      </c>
    </row>
    <row r="10" spans="1:14" x14ac:dyDescent="0.2">
      <c r="A10" s="109"/>
      <c r="B10" s="102" t="s">
        <v>138</v>
      </c>
      <c r="C10" s="14" t="s">
        <v>64</v>
      </c>
      <c r="D10" s="14" t="s">
        <v>64</v>
      </c>
      <c r="E10" s="14">
        <v>20</v>
      </c>
      <c r="F10" s="14">
        <v>1E-3</v>
      </c>
      <c r="G10" s="15">
        <f t="shared" si="0"/>
        <v>1999999.9999999998</v>
      </c>
      <c r="H10" s="22"/>
      <c r="I10" s="22"/>
      <c r="J10" s="9"/>
      <c r="K10" s="9"/>
      <c r="L10" s="13"/>
    </row>
    <row r="11" spans="1:14" x14ac:dyDescent="0.2">
      <c r="A11" s="109" t="s">
        <v>124</v>
      </c>
      <c r="B11" s="102" t="s">
        <v>139</v>
      </c>
      <c r="C11" s="14" t="s">
        <v>64</v>
      </c>
      <c r="D11" s="14" t="s">
        <v>64</v>
      </c>
      <c r="E11" s="14">
        <v>26</v>
      </c>
      <c r="F11" s="14">
        <v>1E-3</v>
      </c>
      <c r="G11" s="15">
        <f t="shared" si="0"/>
        <v>2600000</v>
      </c>
      <c r="H11" s="9">
        <f>AVERAGE(G11)</f>
        <v>2600000</v>
      </c>
      <c r="I11" s="9" t="e">
        <f>STDEV(G11)</f>
        <v>#DIV/0!</v>
      </c>
      <c r="J11" s="9">
        <f>H11*0.05</f>
        <v>130000</v>
      </c>
      <c r="K11" s="9" t="e">
        <f>I11*0.05</f>
        <v>#DIV/0!</v>
      </c>
      <c r="L11" s="13">
        <f>J11/$N$4</f>
        <v>6.1904761904761907</v>
      </c>
    </row>
    <row r="12" spans="1:14" x14ac:dyDescent="0.2">
      <c r="A12" s="109"/>
      <c r="B12" s="102" t="s">
        <v>140</v>
      </c>
      <c r="C12" s="14" t="s">
        <v>64</v>
      </c>
      <c r="D12" s="14" t="s">
        <v>64</v>
      </c>
      <c r="E12" s="14"/>
      <c r="F12" s="14">
        <v>1E-3</v>
      </c>
      <c r="G12" s="15">
        <f t="shared" si="0"/>
        <v>0</v>
      </c>
      <c r="H12" s="22"/>
      <c r="I12" s="22"/>
      <c r="J12" s="9"/>
      <c r="K12" s="9"/>
      <c r="L12" s="13"/>
    </row>
    <row r="13" spans="1:14" x14ac:dyDescent="0.2">
      <c r="A13" s="109" t="s">
        <v>125</v>
      </c>
      <c r="B13" s="102" t="s">
        <v>141</v>
      </c>
      <c r="C13" s="14" t="s">
        <v>64</v>
      </c>
      <c r="D13" s="14" t="s">
        <v>64</v>
      </c>
      <c r="E13" s="14">
        <v>23</v>
      </c>
      <c r="F13" s="14">
        <v>1E-3</v>
      </c>
      <c r="G13" s="15">
        <f t="shared" si="0"/>
        <v>2300000</v>
      </c>
      <c r="H13" s="9">
        <f>AVERAGE(G13)</f>
        <v>2300000</v>
      </c>
      <c r="I13" s="9" t="e">
        <f>STDEV(G13)</f>
        <v>#DIV/0!</v>
      </c>
      <c r="J13" s="9">
        <f>H13*0.05</f>
        <v>115000</v>
      </c>
      <c r="K13" s="9" t="e">
        <f>I13*0.05</f>
        <v>#DIV/0!</v>
      </c>
      <c r="L13" s="13">
        <f>J13/$N$4</f>
        <v>5.4761904761904763</v>
      </c>
    </row>
    <row r="14" spans="1:14" x14ac:dyDescent="0.2">
      <c r="A14" s="109"/>
      <c r="B14" s="102" t="s">
        <v>142</v>
      </c>
      <c r="C14" s="14" t="s">
        <v>64</v>
      </c>
      <c r="D14" s="14" t="s">
        <v>64</v>
      </c>
      <c r="E14" s="14">
        <v>15</v>
      </c>
      <c r="F14" s="14">
        <v>1E-3</v>
      </c>
      <c r="G14" s="15">
        <f t="shared" si="0"/>
        <v>1499999.9999999998</v>
      </c>
      <c r="H14" s="22"/>
      <c r="I14" s="22"/>
      <c r="J14" s="9"/>
      <c r="K14" s="9"/>
      <c r="L14" s="13"/>
    </row>
    <row r="15" spans="1:14" x14ac:dyDescent="0.2">
      <c r="A15" s="109" t="s">
        <v>128</v>
      </c>
      <c r="B15" s="102" t="s">
        <v>90</v>
      </c>
      <c r="C15" s="14" t="s">
        <v>64</v>
      </c>
      <c r="D15" s="14" t="s">
        <v>64</v>
      </c>
      <c r="E15" s="14">
        <v>27</v>
      </c>
      <c r="F15" s="14">
        <v>1E-3</v>
      </c>
      <c r="G15" s="15">
        <f t="shared" si="0"/>
        <v>2700000</v>
      </c>
      <c r="H15" s="9">
        <f>AVERAGE(G15:G16)</f>
        <v>2950000</v>
      </c>
      <c r="I15" s="9">
        <f>STDEV(G15:G16)</f>
        <v>353553.39059327339</v>
      </c>
      <c r="J15" s="9">
        <f>H15*0.05</f>
        <v>147500</v>
      </c>
      <c r="K15" s="9">
        <f>I15*0.05</f>
        <v>17677.669529663672</v>
      </c>
      <c r="L15" s="13">
        <f>J15/$N$4</f>
        <v>7.0238095238095237</v>
      </c>
    </row>
    <row r="16" spans="1:14" x14ac:dyDescent="0.2">
      <c r="A16" s="109"/>
      <c r="B16" s="102" t="s">
        <v>91</v>
      </c>
      <c r="C16" s="14" t="s">
        <v>64</v>
      </c>
      <c r="D16" s="14" t="s">
        <v>64</v>
      </c>
      <c r="E16" s="104">
        <v>32</v>
      </c>
      <c r="F16" s="14">
        <v>1E-3</v>
      </c>
      <c r="G16" s="15">
        <f t="shared" si="0"/>
        <v>3199999.9999999995</v>
      </c>
      <c r="H16" s="22"/>
      <c r="I16" s="22"/>
      <c r="J16" s="9"/>
      <c r="K16" s="9"/>
      <c r="L16" s="13"/>
    </row>
    <row r="17" spans="1:12" ht="16" customHeight="1" x14ac:dyDescent="0.2">
      <c r="A17" s="110" t="s">
        <v>126</v>
      </c>
      <c r="B17" s="102" t="s">
        <v>92</v>
      </c>
      <c r="C17" s="14" t="s">
        <v>64</v>
      </c>
      <c r="D17" s="14" t="s">
        <v>64</v>
      </c>
      <c r="E17" s="104">
        <v>39</v>
      </c>
      <c r="F17" s="14">
        <v>1E-3</v>
      </c>
      <c r="G17" s="15">
        <f t="shared" si="0"/>
        <v>3899999.9999999995</v>
      </c>
      <c r="H17" s="9">
        <f>AVERAGE(G17:G18)</f>
        <v>2899999.9999999995</v>
      </c>
      <c r="I17" s="9">
        <f>STDEV(G17:G18)</f>
        <v>1414213.5623730957</v>
      </c>
      <c r="J17" s="9">
        <f>H17*0.05</f>
        <v>144999.99999999997</v>
      </c>
      <c r="K17" s="9">
        <f>I17*0.05</f>
        <v>70710.678118654789</v>
      </c>
      <c r="L17" s="13">
        <f>J17/$N$4</f>
        <v>6.9047619047619033</v>
      </c>
    </row>
    <row r="18" spans="1:12" x14ac:dyDescent="0.2">
      <c r="A18" s="110"/>
      <c r="B18" s="102" t="s">
        <v>93</v>
      </c>
      <c r="C18" s="14" t="s">
        <v>64</v>
      </c>
      <c r="D18" s="14" t="s">
        <v>64</v>
      </c>
      <c r="E18" s="104">
        <v>19</v>
      </c>
      <c r="F18" s="14">
        <v>1E-3</v>
      </c>
      <c r="G18" s="15">
        <f>E18/(F18*0.01)</f>
        <v>1899999.9999999998</v>
      </c>
      <c r="H18" s="22"/>
      <c r="I18" s="22"/>
      <c r="J18" s="9"/>
      <c r="K18" s="9"/>
      <c r="L18" s="13"/>
    </row>
    <row r="19" spans="1:12" x14ac:dyDescent="0.2">
      <c r="A19" s="2" t="s">
        <v>70</v>
      </c>
      <c r="B19" s="2"/>
      <c r="C19" s="2">
        <v>0.1</v>
      </c>
      <c r="D19" s="2">
        <f>C19/10</f>
        <v>0.01</v>
      </c>
      <c r="E19" s="2">
        <f>D19/10</f>
        <v>1E-3</v>
      </c>
      <c r="F19" s="14"/>
    </row>
    <row r="21" spans="1:12" x14ac:dyDescent="0.2">
      <c r="A21" s="25" t="s">
        <v>46</v>
      </c>
      <c r="B21" s="25" t="s">
        <v>61</v>
      </c>
      <c r="C21" s="25" t="s">
        <v>60</v>
      </c>
      <c r="D21" s="105" t="s">
        <v>31</v>
      </c>
    </row>
    <row r="22" spans="1:12" x14ac:dyDescent="0.2">
      <c r="A22" s="2" t="s">
        <v>115</v>
      </c>
      <c r="B22" s="9">
        <f>J3</f>
        <v>102500</v>
      </c>
      <c r="C22" s="9">
        <f>K3</f>
        <v>60104.076400856502</v>
      </c>
      <c r="D22" s="13">
        <f>L3</f>
        <v>4.8809523809523814</v>
      </c>
    </row>
    <row r="23" spans="1:12" x14ac:dyDescent="0.2">
      <c r="A23" s="2" t="s">
        <v>135</v>
      </c>
      <c r="B23" s="9">
        <f>J5</f>
        <v>130000</v>
      </c>
      <c r="C23" s="9">
        <f>K5</f>
        <v>28284.271247461817</v>
      </c>
      <c r="D23" s="13">
        <f>L5</f>
        <v>6.1904761904761907</v>
      </c>
    </row>
    <row r="24" spans="1:12" x14ac:dyDescent="0.2">
      <c r="A24" s="2" t="s">
        <v>122</v>
      </c>
      <c r="B24" s="9">
        <f>J7</f>
        <v>90000</v>
      </c>
      <c r="C24" s="9">
        <f>K7</f>
        <v>7071.067811865476</v>
      </c>
      <c r="D24" s="13">
        <f>L7</f>
        <v>4.2857142857142856</v>
      </c>
    </row>
    <row r="25" spans="1:12" ht="16" customHeight="1" x14ac:dyDescent="0.2">
      <c r="A25" s="2" t="s">
        <v>123</v>
      </c>
      <c r="B25" s="9">
        <f>J9</f>
        <v>107500</v>
      </c>
      <c r="C25" s="9">
        <f>K9</f>
        <v>10606.601717798221</v>
      </c>
      <c r="D25" s="13">
        <f>L9</f>
        <v>5.1190476190476186</v>
      </c>
    </row>
    <row r="26" spans="1:12" x14ac:dyDescent="0.2">
      <c r="A26" s="2" t="s">
        <v>124</v>
      </c>
      <c r="B26" s="9">
        <f>J11</f>
        <v>130000</v>
      </c>
      <c r="C26" s="9" t="e">
        <f>K11</f>
        <v>#DIV/0!</v>
      </c>
      <c r="D26" s="13">
        <f>L11</f>
        <v>6.1904761904761907</v>
      </c>
    </row>
    <row r="27" spans="1:12" x14ac:dyDescent="0.2">
      <c r="A27" s="2" t="s">
        <v>125</v>
      </c>
      <c r="B27" s="9">
        <f>J13</f>
        <v>115000</v>
      </c>
      <c r="C27" s="9" t="e">
        <f>K13</f>
        <v>#DIV/0!</v>
      </c>
      <c r="D27" s="13">
        <f>L13</f>
        <v>5.4761904761904763</v>
      </c>
    </row>
    <row r="28" spans="1:12" x14ac:dyDescent="0.2">
      <c r="A28" s="2" t="s">
        <v>128</v>
      </c>
      <c r="B28" s="9">
        <f>J15</f>
        <v>147500</v>
      </c>
      <c r="C28" s="9">
        <f>K15</f>
        <v>17677.669529663672</v>
      </c>
      <c r="D28" s="13">
        <f>L15</f>
        <v>7.0238095238095237</v>
      </c>
    </row>
    <row r="29" spans="1:12" x14ac:dyDescent="0.2">
      <c r="A29" s="2" t="s">
        <v>126</v>
      </c>
      <c r="B29" s="9">
        <f>J17</f>
        <v>144999.99999999997</v>
      </c>
      <c r="C29" s="9">
        <f>K17</f>
        <v>70710.678118654789</v>
      </c>
      <c r="D29" s="13">
        <f>L17</f>
        <v>6.9047619047619033</v>
      </c>
    </row>
  </sheetData>
  <mergeCells count="9">
    <mergeCell ref="A17:A18"/>
    <mergeCell ref="A13:A14"/>
    <mergeCell ref="A9:A10"/>
    <mergeCell ref="A11:A12"/>
    <mergeCell ref="C1:E1"/>
    <mergeCell ref="A3:A4"/>
    <mergeCell ref="A5:A6"/>
    <mergeCell ref="A7:A8"/>
    <mergeCell ref="A15:A16"/>
  </mergeCells>
  <pageMargins left="0.75" right="0.75" top="1" bottom="1" header="0.5" footer="0.5"/>
  <pageSetup scale="60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2FA1F-8233-444C-8FD3-9BAAE83CEE61}">
  <dimension ref="A3:Q11"/>
  <sheetViews>
    <sheetView workbookViewId="0">
      <selection activeCell="J18" sqref="J18"/>
    </sheetView>
  </sheetViews>
  <sheetFormatPr baseColWidth="10" defaultRowHeight="16" x14ac:dyDescent="0.2"/>
  <sheetData>
    <row r="3" spans="1:17" ht="51" x14ac:dyDescent="0.2">
      <c r="A3" s="66" t="s">
        <v>112</v>
      </c>
      <c r="B3" s="67"/>
      <c r="C3" s="25">
        <v>2</v>
      </c>
      <c r="D3" s="28">
        <v>3</v>
      </c>
      <c r="E3" s="28">
        <v>4</v>
      </c>
      <c r="F3" s="28">
        <v>5</v>
      </c>
      <c r="G3" s="28">
        <v>6</v>
      </c>
      <c r="H3" s="25">
        <v>2</v>
      </c>
      <c r="I3" s="28">
        <v>3</v>
      </c>
      <c r="J3" s="28">
        <v>4</v>
      </c>
      <c r="K3" s="39">
        <v>5</v>
      </c>
      <c r="L3" s="39">
        <v>6</v>
      </c>
      <c r="M3" s="29" t="s">
        <v>57</v>
      </c>
      <c r="N3" s="29" t="s">
        <v>74</v>
      </c>
      <c r="O3" s="29" t="s">
        <v>113</v>
      </c>
      <c r="P3" s="29" t="s">
        <v>50</v>
      </c>
      <c r="Q3" s="29" t="s">
        <v>114</v>
      </c>
    </row>
    <row r="4" spans="1:17" ht="17" x14ac:dyDescent="0.2">
      <c r="A4" s="68">
        <v>1</v>
      </c>
      <c r="B4" s="24" t="s">
        <v>3</v>
      </c>
      <c r="C4" s="69" t="s">
        <v>64</v>
      </c>
      <c r="D4" s="69" t="s">
        <v>64</v>
      </c>
      <c r="E4" s="69" t="s">
        <v>64</v>
      </c>
      <c r="F4" s="69" t="s">
        <v>64</v>
      </c>
      <c r="G4" s="69">
        <v>12</v>
      </c>
      <c r="H4" s="69" t="s">
        <v>64</v>
      </c>
      <c r="I4" s="69" t="s">
        <v>64</v>
      </c>
      <c r="J4" s="69" t="s">
        <v>64</v>
      </c>
      <c r="K4" s="69" t="s">
        <v>64</v>
      </c>
      <c r="L4" s="69">
        <v>13</v>
      </c>
      <c r="M4" s="69">
        <v>1.0000000000000001E-5</v>
      </c>
      <c r="N4" s="70">
        <f>AVERAGE(G4,L4)</f>
        <v>12.5</v>
      </c>
      <c r="O4" s="71">
        <f>(N4/(0.01*M4))</f>
        <v>124999999.99999999</v>
      </c>
      <c r="P4" s="67">
        <v>4.3999999999999997E-2</v>
      </c>
      <c r="Q4" s="71">
        <f>O4/P4</f>
        <v>2840909090.9090905</v>
      </c>
    </row>
    <row r="5" spans="1:17" ht="17" x14ac:dyDescent="0.2">
      <c r="A5" s="66">
        <v>2</v>
      </c>
      <c r="B5" s="24" t="s">
        <v>104</v>
      </c>
      <c r="C5" s="69" t="s">
        <v>64</v>
      </c>
      <c r="D5" s="69" t="s">
        <v>64</v>
      </c>
      <c r="E5" s="69" t="s">
        <v>64</v>
      </c>
      <c r="F5" s="69" t="s">
        <v>64</v>
      </c>
      <c r="G5" s="69">
        <v>13</v>
      </c>
      <c r="H5" s="69" t="s">
        <v>64</v>
      </c>
      <c r="I5" s="69" t="s">
        <v>64</v>
      </c>
      <c r="J5" s="69" t="s">
        <v>64</v>
      </c>
      <c r="K5" s="69" t="s">
        <v>64</v>
      </c>
      <c r="L5" s="69">
        <v>13</v>
      </c>
      <c r="M5" s="69">
        <v>1.0000000000000001E-5</v>
      </c>
      <c r="N5" s="70">
        <f t="shared" ref="N5:N6" si="0">AVERAGE(G5,L5)</f>
        <v>13</v>
      </c>
      <c r="O5" s="71">
        <f t="shared" ref="O5:O6" si="1">(N5/(0.01*M5))</f>
        <v>129999999.99999999</v>
      </c>
      <c r="P5" s="67">
        <v>3.7999999999999999E-2</v>
      </c>
      <c r="Q5" s="71">
        <f t="shared" ref="Q5:Q6" si="2">O5/P5</f>
        <v>3421052631.5789471</v>
      </c>
    </row>
    <row r="6" spans="1:17" ht="17" x14ac:dyDescent="0.2">
      <c r="A6" s="66">
        <v>3</v>
      </c>
      <c r="B6" s="24" t="s">
        <v>4</v>
      </c>
      <c r="C6" s="69" t="s">
        <v>64</v>
      </c>
      <c r="D6" s="69" t="s">
        <v>64</v>
      </c>
      <c r="E6" s="69" t="s">
        <v>64</v>
      </c>
      <c r="F6" s="69" t="s">
        <v>64</v>
      </c>
      <c r="G6" s="69">
        <v>12</v>
      </c>
      <c r="H6" s="69" t="s">
        <v>64</v>
      </c>
      <c r="I6" s="69" t="s">
        <v>64</v>
      </c>
      <c r="J6" s="69" t="s">
        <v>64</v>
      </c>
      <c r="K6" s="69" t="s">
        <v>64</v>
      </c>
      <c r="L6" s="69">
        <v>18</v>
      </c>
      <c r="M6" s="69">
        <v>1.0000000000000001E-5</v>
      </c>
      <c r="N6" s="70">
        <f t="shared" si="0"/>
        <v>15</v>
      </c>
      <c r="O6" s="71">
        <f t="shared" si="1"/>
        <v>150000000</v>
      </c>
      <c r="P6" s="67">
        <v>3.6999999999999998E-2</v>
      </c>
      <c r="Q6" s="71">
        <f t="shared" si="2"/>
        <v>4054054054.0540543</v>
      </c>
    </row>
    <row r="7" spans="1:17" x14ac:dyDescent="0.2">
      <c r="A7" s="72"/>
      <c r="B7" s="67" t="s">
        <v>70</v>
      </c>
      <c r="C7" s="67">
        <v>0.1</v>
      </c>
      <c r="D7" s="67">
        <f>C7/10</f>
        <v>0.01</v>
      </c>
      <c r="E7" s="67">
        <v>1E-3</v>
      </c>
      <c r="F7" s="67">
        <f>E7/10</f>
        <v>1E-4</v>
      </c>
      <c r="G7" s="67">
        <f>F7/10</f>
        <v>1.0000000000000001E-5</v>
      </c>
      <c r="H7" s="67">
        <v>0.1</v>
      </c>
      <c r="I7" s="67">
        <f>H7/10</f>
        <v>0.01</v>
      </c>
      <c r="J7" s="67">
        <v>1E-3</v>
      </c>
      <c r="K7" s="67">
        <f>J7/10</f>
        <v>1E-4</v>
      </c>
      <c r="L7" s="67">
        <f>K7/10</f>
        <v>1.0000000000000001E-5</v>
      </c>
      <c r="M7" s="72"/>
      <c r="N7" s="72"/>
      <c r="O7" s="73"/>
      <c r="P7" s="73"/>
      <c r="Q7" s="73"/>
    </row>
    <row r="8" spans="1:17" x14ac:dyDescent="0.2">
      <c r="A8" s="72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74"/>
      <c r="M8" s="72"/>
      <c r="N8" s="72"/>
      <c r="O8" s="72"/>
      <c r="P8" s="72"/>
      <c r="Q8" s="72"/>
    </row>
    <row r="9" spans="1:17" x14ac:dyDescent="0.2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</row>
    <row r="10" spans="1:17" x14ac:dyDescent="0.2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</row>
    <row r="11" spans="1:17" x14ac:dyDescent="0.2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</row>
  </sheetData>
  <mergeCells count="1">
    <mergeCell ref="B8:K8"/>
  </mergeCells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FC96-511D-4F07-A849-4459F95A19A4}">
  <sheetPr>
    <pageSetUpPr fitToPage="1"/>
  </sheetPr>
  <dimension ref="A1:AB37"/>
  <sheetViews>
    <sheetView showRuler="0" topLeftCell="G2" zoomScale="110" zoomScaleNormal="110" workbookViewId="0">
      <selection activeCell="K2" sqref="K2:R8"/>
    </sheetView>
  </sheetViews>
  <sheetFormatPr baseColWidth="10" defaultColWidth="10.6640625" defaultRowHeight="16" x14ac:dyDescent="0.2"/>
  <cols>
    <col min="1" max="2" width="17.33203125" customWidth="1"/>
    <col min="3" max="3" width="5.5" bestFit="1" customWidth="1"/>
    <col min="4" max="5" width="7" bestFit="1" customWidth="1"/>
    <col min="6" max="6" width="8.1640625" bestFit="1" customWidth="1"/>
    <col min="7" max="7" width="8.33203125" bestFit="1" customWidth="1"/>
    <col min="8" max="8" width="8.83203125" bestFit="1" customWidth="1"/>
    <col min="9" max="9" width="8.1640625" customWidth="1"/>
    <col min="11" max="11" width="2.1640625" bestFit="1" customWidth="1"/>
    <col min="12" max="12" width="17" customWidth="1"/>
    <col min="13" max="13" width="9" bestFit="1" customWidth="1"/>
    <col min="14" max="15" width="8.83203125" bestFit="1" customWidth="1"/>
    <col min="16" max="16" width="7.6640625" bestFit="1" customWidth="1"/>
    <col min="17" max="17" width="6" bestFit="1" customWidth="1"/>
    <col min="18" max="18" width="7.33203125" bestFit="1" customWidth="1"/>
  </cols>
  <sheetData>
    <row r="1" spans="1:28" x14ac:dyDescent="0.2">
      <c r="A1" s="4"/>
      <c r="B1" s="4"/>
      <c r="C1" s="4"/>
      <c r="F1" s="4"/>
      <c r="G1" s="4"/>
      <c r="H1" s="26"/>
      <c r="I1" s="26"/>
      <c r="J1" s="26"/>
      <c r="K1" s="55"/>
      <c r="L1" s="32"/>
      <c r="M1" s="32"/>
      <c r="N1" s="32"/>
      <c r="O1" s="33"/>
      <c r="P1" s="33"/>
    </row>
    <row r="2" spans="1:28" ht="51" x14ac:dyDescent="0.2">
      <c r="A2" s="25"/>
      <c r="B2" s="25" t="s">
        <v>96</v>
      </c>
      <c r="C2" s="34" t="s">
        <v>71</v>
      </c>
      <c r="D2" s="34" t="s">
        <v>72</v>
      </c>
      <c r="E2" s="34" t="s">
        <v>73</v>
      </c>
      <c r="F2" s="30" t="s">
        <v>57</v>
      </c>
      <c r="G2" s="30" t="s">
        <v>74</v>
      </c>
      <c r="H2" s="30" t="s">
        <v>75</v>
      </c>
      <c r="I2" s="30" t="s">
        <v>76</v>
      </c>
      <c r="K2" s="31" t="s">
        <v>112</v>
      </c>
      <c r="L2" s="2"/>
      <c r="M2" s="2" t="s">
        <v>98</v>
      </c>
      <c r="N2" s="29" t="s">
        <v>77</v>
      </c>
      <c r="O2" s="25" t="s">
        <v>78</v>
      </c>
      <c r="P2" s="35" t="s">
        <v>79</v>
      </c>
      <c r="Q2" s="34" t="s">
        <v>76</v>
      </c>
      <c r="R2" s="30" t="s">
        <v>80</v>
      </c>
    </row>
    <row r="3" spans="1:28" ht="17" x14ac:dyDescent="0.2">
      <c r="A3" s="119" t="s">
        <v>3</v>
      </c>
      <c r="B3" s="46"/>
      <c r="C3" s="11" t="s">
        <v>63</v>
      </c>
      <c r="D3" s="36">
        <v>6</v>
      </c>
      <c r="E3" s="36">
        <v>4</v>
      </c>
      <c r="F3" s="14">
        <v>1</v>
      </c>
      <c r="G3" s="22">
        <f t="shared" ref="G3:G11" si="0">AVERAGE(D3,E3)</f>
        <v>5</v>
      </c>
      <c r="H3" s="9">
        <f>(G3/(0.05*F3))*0.2</f>
        <v>20</v>
      </c>
      <c r="I3" s="118" t="e">
        <f>TTEST(H3:H5,H3:H5,2,2)</f>
        <v>#DIV/0!</v>
      </c>
      <c r="J3" s="1"/>
      <c r="K3" s="65">
        <v>1</v>
      </c>
      <c r="L3" s="6" t="s">
        <v>3</v>
      </c>
      <c r="M3" s="6" t="s">
        <v>84</v>
      </c>
      <c r="N3" s="9">
        <f>AVERAGE(H3:H5)</f>
        <v>20</v>
      </c>
      <c r="O3" s="9">
        <f>STDEV(H3:H5)</f>
        <v>0</v>
      </c>
      <c r="P3" s="13">
        <v>6.0810810810810807</v>
      </c>
      <c r="Q3" s="18"/>
      <c r="R3" s="23">
        <f>IF(N3/$N$3&gt;=1,N3/$N$3,-$N$3/N3)</f>
        <v>1</v>
      </c>
      <c r="S3" s="41"/>
      <c r="U3" s="1"/>
      <c r="W3" s="1"/>
      <c r="X3" s="1"/>
      <c r="Y3" s="1"/>
      <c r="Z3" s="1"/>
      <c r="AA3" s="1"/>
      <c r="AB3" s="1"/>
    </row>
    <row r="4" spans="1:28" ht="17" x14ac:dyDescent="0.2">
      <c r="A4" s="120"/>
      <c r="B4" s="47"/>
      <c r="C4" s="11" t="s">
        <v>65</v>
      </c>
      <c r="D4" s="36">
        <v>6</v>
      </c>
      <c r="E4" s="36">
        <v>4</v>
      </c>
      <c r="F4" s="14">
        <v>1</v>
      </c>
      <c r="G4" s="22">
        <f t="shared" si="0"/>
        <v>5</v>
      </c>
      <c r="H4" s="9">
        <f t="shared" ref="H4:H11" si="1">(G4/(0.05*F4))*0.2</f>
        <v>20</v>
      </c>
      <c r="I4" s="118"/>
      <c r="K4" s="31">
        <v>2</v>
      </c>
      <c r="L4" s="6" t="s">
        <v>104</v>
      </c>
      <c r="M4" s="6" t="s">
        <v>84</v>
      </c>
      <c r="N4" s="9">
        <f>AVERAGE(H6:H8)</f>
        <v>11.333333333333334</v>
      </c>
      <c r="O4" s="9">
        <f>STDEV(H6:H8)</f>
        <v>9.4516312525052175</v>
      </c>
      <c r="P4" s="13">
        <v>5.9845559845559846</v>
      </c>
      <c r="Q4" s="18">
        <f>TTEST(H3:H5,H6:H8,2,2)</f>
        <v>0.18743650937689721</v>
      </c>
      <c r="R4" s="23">
        <f>IF(N4/$N$3&gt;=1,N4/$N$3,-$N$3/N4)</f>
        <v>-1.7647058823529411</v>
      </c>
      <c r="S4" s="41"/>
    </row>
    <row r="5" spans="1:28" ht="17" x14ac:dyDescent="0.2">
      <c r="A5" s="121"/>
      <c r="B5" s="48"/>
      <c r="C5" s="11" t="s">
        <v>81</v>
      </c>
      <c r="D5" s="36">
        <v>4</v>
      </c>
      <c r="E5" s="36">
        <v>6</v>
      </c>
      <c r="F5" s="14">
        <v>1</v>
      </c>
      <c r="G5" s="22">
        <f t="shared" si="0"/>
        <v>5</v>
      </c>
      <c r="H5" s="9">
        <f t="shared" si="1"/>
        <v>20</v>
      </c>
      <c r="I5" s="118"/>
      <c r="K5" s="31">
        <v>3</v>
      </c>
      <c r="L5" s="6" t="s">
        <v>4</v>
      </c>
      <c r="M5" s="6" t="s">
        <v>84</v>
      </c>
      <c r="N5" s="9">
        <f>AVERAGE(H9:H11)</f>
        <v>28</v>
      </c>
      <c r="O5" s="9">
        <f>STDEV(H9:H11)</f>
        <v>11.135528725660043</v>
      </c>
      <c r="P5" s="13">
        <v>6.66023166023166</v>
      </c>
      <c r="Q5" s="18">
        <f>TTEST(H3:H5,H9:H11,2,2)</f>
        <v>0.28130635320861869</v>
      </c>
      <c r="R5" s="23">
        <f>IF(N5/$N$3&gt;=1,N5/$N$3,-$N$3/N5)</f>
        <v>1.4</v>
      </c>
      <c r="S5" s="41"/>
    </row>
    <row r="6" spans="1:28" ht="15" customHeight="1" x14ac:dyDescent="0.2">
      <c r="A6" s="115" t="s">
        <v>105</v>
      </c>
      <c r="B6" s="42"/>
      <c r="C6" s="11" t="s">
        <v>66</v>
      </c>
      <c r="D6" s="36">
        <v>7</v>
      </c>
      <c r="E6" s="36">
        <v>4</v>
      </c>
      <c r="F6" s="14">
        <v>1</v>
      </c>
      <c r="G6" s="2">
        <f t="shared" si="0"/>
        <v>5.5</v>
      </c>
      <c r="H6" s="9">
        <f t="shared" si="1"/>
        <v>22</v>
      </c>
      <c r="I6" s="118">
        <f>TTEST(H6:H8,H3:H5,2,2)</f>
        <v>0.18743650937689721</v>
      </c>
      <c r="K6" s="31">
        <v>4</v>
      </c>
      <c r="L6" s="6" t="s">
        <v>3</v>
      </c>
      <c r="M6" s="53" t="s">
        <v>97</v>
      </c>
      <c r="N6" s="9">
        <f>AVERAGE(H12:H14)</f>
        <v>20</v>
      </c>
      <c r="O6" s="9">
        <f>STDEV(H12:H14)</f>
        <v>4</v>
      </c>
      <c r="P6" s="13">
        <v>6.756756756756757</v>
      </c>
      <c r="Q6" s="18">
        <f>TTEST(H3:H5,H12:H14,2,2)</f>
        <v>1</v>
      </c>
      <c r="R6" s="23">
        <f t="shared" ref="R6:R8" si="2">IF(N6/$N$3&gt;=1,N6/$N$3,-$N$3/N6)</f>
        <v>1</v>
      </c>
      <c r="S6" s="41"/>
    </row>
    <row r="7" spans="1:28" ht="15" customHeight="1" x14ac:dyDescent="0.2">
      <c r="A7" s="116"/>
      <c r="B7" s="45"/>
      <c r="C7" s="11" t="s">
        <v>67</v>
      </c>
      <c r="D7" s="36">
        <v>1</v>
      </c>
      <c r="E7" s="36">
        <v>3</v>
      </c>
      <c r="F7" s="14">
        <v>1</v>
      </c>
      <c r="G7" s="2">
        <f t="shared" si="0"/>
        <v>2</v>
      </c>
      <c r="H7" s="9">
        <f t="shared" si="1"/>
        <v>8</v>
      </c>
      <c r="I7" s="118"/>
      <c r="K7" s="31">
        <v>5</v>
      </c>
      <c r="L7" s="6" t="s">
        <v>104</v>
      </c>
      <c r="M7" s="31" t="s">
        <v>97</v>
      </c>
      <c r="N7" s="9">
        <f>AVERAGE(H15:H17)</f>
        <v>15.333333333333334</v>
      </c>
      <c r="O7" s="9">
        <f>STDEV(H15:H17)</f>
        <v>4.1633319989322635</v>
      </c>
      <c r="P7" s="13">
        <v>5.4054054054054053</v>
      </c>
      <c r="Q7" s="18">
        <f>TTEST(H3:H5,H15:H17,2,2)</f>
        <v>0.12417023554784123</v>
      </c>
      <c r="R7" s="23">
        <f t="shared" si="2"/>
        <v>-1.3043478260869565</v>
      </c>
      <c r="S7" s="41"/>
    </row>
    <row r="8" spans="1:28" ht="17" x14ac:dyDescent="0.2">
      <c r="A8" s="117"/>
      <c r="B8" s="43"/>
      <c r="C8" s="11" t="s">
        <v>82</v>
      </c>
      <c r="D8" s="36">
        <v>1</v>
      </c>
      <c r="E8" s="36">
        <v>1</v>
      </c>
      <c r="F8" s="14">
        <v>1</v>
      </c>
      <c r="G8" s="2">
        <f t="shared" si="0"/>
        <v>1</v>
      </c>
      <c r="H8" s="9">
        <f t="shared" si="1"/>
        <v>4</v>
      </c>
      <c r="I8" s="118"/>
      <c r="K8" s="31">
        <v>6</v>
      </c>
      <c r="L8" s="6" t="s">
        <v>4</v>
      </c>
      <c r="M8" s="31" t="s">
        <v>97</v>
      </c>
      <c r="N8" s="9">
        <f>AVERAGE(H18:H20)</f>
        <v>24</v>
      </c>
      <c r="O8" s="9">
        <f>STDEV(H18:H20)</f>
        <v>15.620499351813308</v>
      </c>
      <c r="P8" s="13">
        <v>7.8185328185328187</v>
      </c>
      <c r="Q8" s="18">
        <f>TTEST(H3:H5,H18:H20,2,2)</f>
        <v>0.68031484118113505</v>
      </c>
      <c r="R8" s="23">
        <f t="shared" si="2"/>
        <v>1.2</v>
      </c>
      <c r="S8" s="41"/>
    </row>
    <row r="9" spans="1:28" ht="15" customHeight="1" x14ac:dyDescent="0.2">
      <c r="A9" s="115" t="s">
        <v>106</v>
      </c>
      <c r="B9" s="42"/>
      <c r="C9" s="11" t="s">
        <v>68</v>
      </c>
      <c r="D9" s="36">
        <v>10</v>
      </c>
      <c r="E9" s="36">
        <v>3</v>
      </c>
      <c r="F9" s="14">
        <v>1</v>
      </c>
      <c r="G9" s="2">
        <f t="shared" si="0"/>
        <v>6.5</v>
      </c>
      <c r="H9" s="9">
        <f t="shared" si="1"/>
        <v>26</v>
      </c>
      <c r="I9" s="118">
        <f>TTEST(H9:H11,H3:H5,2,2)</f>
        <v>0.28130635320861869</v>
      </c>
      <c r="L9" s="44"/>
      <c r="M9" s="44"/>
      <c r="N9" s="40"/>
      <c r="O9" s="40"/>
      <c r="P9" s="49"/>
      <c r="Q9" s="51"/>
      <c r="R9" s="50"/>
      <c r="S9" s="41"/>
    </row>
    <row r="10" spans="1:28" x14ac:dyDescent="0.2">
      <c r="A10" s="116"/>
      <c r="B10" s="45"/>
      <c r="C10" s="11" t="s">
        <v>69</v>
      </c>
      <c r="D10" s="36">
        <v>11</v>
      </c>
      <c r="E10" s="36">
        <v>9</v>
      </c>
      <c r="F10" s="14">
        <v>1</v>
      </c>
      <c r="G10" s="2">
        <f t="shared" si="0"/>
        <v>10</v>
      </c>
      <c r="H10" s="9">
        <f t="shared" si="1"/>
        <v>40</v>
      </c>
      <c r="I10" s="118"/>
      <c r="L10" s="52"/>
      <c r="M10" s="52"/>
      <c r="N10" s="40"/>
      <c r="O10" s="40"/>
      <c r="P10" s="49"/>
      <c r="Q10" s="51"/>
      <c r="R10" s="50"/>
      <c r="S10" s="41"/>
    </row>
    <row r="11" spans="1:28" ht="15" customHeight="1" x14ac:dyDescent="0.2">
      <c r="A11" s="117"/>
      <c r="B11" s="43"/>
      <c r="C11" s="11" t="s">
        <v>83</v>
      </c>
      <c r="D11" s="36">
        <v>5</v>
      </c>
      <c r="E11" s="36">
        <v>4</v>
      </c>
      <c r="F11" s="14">
        <v>1</v>
      </c>
      <c r="G11" s="2">
        <f t="shared" si="0"/>
        <v>4.5</v>
      </c>
      <c r="H11" s="9">
        <f t="shared" si="1"/>
        <v>18</v>
      </c>
      <c r="I11" s="118"/>
      <c r="L11" s="44"/>
      <c r="M11" s="44"/>
      <c r="N11" s="40"/>
      <c r="O11" s="40"/>
      <c r="P11" s="49"/>
      <c r="Q11" s="51"/>
      <c r="R11" s="50"/>
      <c r="S11" s="41"/>
    </row>
    <row r="12" spans="1:28" x14ac:dyDescent="0.2">
      <c r="A12" s="119" t="s">
        <v>3</v>
      </c>
      <c r="B12" s="46"/>
      <c r="C12" s="11" t="s">
        <v>90</v>
      </c>
      <c r="D12" s="36">
        <v>5</v>
      </c>
      <c r="E12" s="36">
        <v>3</v>
      </c>
      <c r="F12" s="14">
        <v>1</v>
      </c>
      <c r="G12" s="2">
        <f t="shared" ref="G12:G17" si="3">AVERAGE(D12,E12)</f>
        <v>4</v>
      </c>
      <c r="H12" s="9">
        <f t="shared" ref="H12:H15" si="4">(G12/(0.05*F12))*0.2</f>
        <v>16</v>
      </c>
      <c r="I12" s="118">
        <f>TTEST(H12:H14,H3:H5,2,2)</f>
        <v>1</v>
      </c>
      <c r="L12" s="44"/>
      <c r="M12" s="44"/>
      <c r="N12" s="40"/>
      <c r="O12" s="40"/>
      <c r="P12" s="49"/>
      <c r="Q12" s="51"/>
      <c r="R12" s="50"/>
      <c r="S12" s="41"/>
    </row>
    <row r="13" spans="1:28" ht="15" customHeight="1" x14ac:dyDescent="0.2">
      <c r="A13" s="120"/>
      <c r="B13" s="47"/>
      <c r="C13" s="11">
        <f>(18-3)*2</f>
        <v>30</v>
      </c>
      <c r="D13" s="36">
        <v>9</v>
      </c>
      <c r="E13" s="36">
        <v>3</v>
      </c>
      <c r="F13" s="14">
        <v>1</v>
      </c>
      <c r="G13" s="2">
        <f t="shared" si="3"/>
        <v>6</v>
      </c>
      <c r="H13" s="9">
        <f t="shared" si="4"/>
        <v>24</v>
      </c>
      <c r="I13" s="118"/>
      <c r="S13" s="41"/>
    </row>
    <row r="14" spans="1:28" x14ac:dyDescent="0.2">
      <c r="A14" s="121"/>
      <c r="B14" s="48"/>
      <c r="C14" s="11" t="s">
        <v>99</v>
      </c>
      <c r="D14" s="36">
        <v>5</v>
      </c>
      <c r="E14" s="36">
        <v>5</v>
      </c>
      <c r="F14" s="14">
        <v>1</v>
      </c>
      <c r="G14" s="2">
        <f t="shared" si="3"/>
        <v>5</v>
      </c>
      <c r="H14" s="9">
        <f t="shared" si="4"/>
        <v>20</v>
      </c>
      <c r="I14" s="118"/>
      <c r="S14" s="41"/>
    </row>
    <row r="15" spans="1:28" x14ac:dyDescent="0.2">
      <c r="A15" s="115" t="s">
        <v>105</v>
      </c>
      <c r="B15" s="42"/>
      <c r="C15" s="11" t="s">
        <v>92</v>
      </c>
      <c r="D15" s="36">
        <v>5</v>
      </c>
      <c r="E15" s="36">
        <v>5</v>
      </c>
      <c r="F15" s="14">
        <v>1</v>
      </c>
      <c r="G15" s="2">
        <f t="shared" si="3"/>
        <v>5</v>
      </c>
      <c r="H15" s="9">
        <f t="shared" si="4"/>
        <v>20</v>
      </c>
      <c r="I15" s="118">
        <f>TTEST(H15:H17,H3:H5,2,2)</f>
        <v>0.12417023554784123</v>
      </c>
      <c r="J15" s="1"/>
      <c r="K15" s="1"/>
      <c r="L15" s="1"/>
      <c r="M15" s="1"/>
      <c r="S15" s="41"/>
      <c r="U15" s="1"/>
      <c r="W15" s="1"/>
      <c r="X15" s="1"/>
      <c r="Y15" s="1"/>
      <c r="Z15" s="1"/>
      <c r="AA15" s="1"/>
      <c r="AB15" s="1"/>
    </row>
    <row r="16" spans="1:28" x14ac:dyDescent="0.2">
      <c r="A16" s="116"/>
      <c r="B16" s="45"/>
      <c r="C16" s="11" t="s">
        <v>93</v>
      </c>
      <c r="D16" s="36">
        <v>3</v>
      </c>
      <c r="E16" s="36">
        <v>4</v>
      </c>
      <c r="F16" s="14">
        <v>1</v>
      </c>
      <c r="G16" s="2">
        <f t="shared" si="3"/>
        <v>3.5</v>
      </c>
      <c r="H16" s="9">
        <f>(G16/(0.05*F16))*0.2</f>
        <v>14</v>
      </c>
      <c r="I16" s="118"/>
      <c r="S16" s="41"/>
    </row>
    <row r="17" spans="1:28" x14ac:dyDescent="0.2">
      <c r="A17" s="117"/>
      <c r="B17" s="43"/>
      <c r="C17" s="11" t="s">
        <v>100</v>
      </c>
      <c r="D17" s="36">
        <v>1</v>
      </c>
      <c r="E17" s="36">
        <v>5</v>
      </c>
      <c r="F17" s="14">
        <v>1</v>
      </c>
      <c r="G17" s="2">
        <f t="shared" si="3"/>
        <v>3</v>
      </c>
      <c r="H17" s="9">
        <f t="shared" ref="H17" si="5">(G17/(0.05*F17))*0.2</f>
        <v>12</v>
      </c>
      <c r="I17" s="118"/>
      <c r="S17" s="41"/>
    </row>
    <row r="18" spans="1:28" ht="15" customHeight="1" x14ac:dyDescent="0.2">
      <c r="A18" s="115" t="s">
        <v>106</v>
      </c>
      <c r="B18" s="42"/>
      <c r="C18" s="11" t="s">
        <v>94</v>
      </c>
      <c r="D18" s="36">
        <v>16</v>
      </c>
      <c r="E18" s="36">
        <v>5</v>
      </c>
      <c r="F18" s="14">
        <v>1</v>
      </c>
      <c r="G18" s="22">
        <f t="shared" ref="G18:G20" si="6">AVERAGE(D18,E18)</f>
        <v>10.5</v>
      </c>
      <c r="H18" s="9">
        <f>(G18/(0.05*F18))*0.2</f>
        <v>42</v>
      </c>
      <c r="I18" s="118">
        <f>TTEST(H18:H20,H18:H20,2,2)</f>
        <v>1</v>
      </c>
      <c r="S18" s="41"/>
    </row>
    <row r="19" spans="1:28" ht="15" customHeight="1" x14ac:dyDescent="0.2">
      <c r="A19" s="116"/>
      <c r="B19" s="45"/>
      <c r="C19" s="11" t="s">
        <v>95</v>
      </c>
      <c r="D19" s="36">
        <v>1</v>
      </c>
      <c r="E19" s="36">
        <v>7</v>
      </c>
      <c r="F19" s="14">
        <v>1</v>
      </c>
      <c r="G19" s="22">
        <f t="shared" si="6"/>
        <v>4</v>
      </c>
      <c r="H19" s="9">
        <f t="shared" ref="H19:H20" si="7">(G19/(0.05*F19))*0.2</f>
        <v>16</v>
      </c>
      <c r="I19" s="118"/>
      <c r="S19" s="41"/>
    </row>
    <row r="20" spans="1:28" x14ac:dyDescent="0.2">
      <c r="A20" s="117"/>
      <c r="B20" s="43"/>
      <c r="C20" s="11" t="s">
        <v>101</v>
      </c>
      <c r="D20" s="36">
        <v>2</v>
      </c>
      <c r="E20" s="36">
        <v>5</v>
      </c>
      <c r="F20" s="14">
        <v>1</v>
      </c>
      <c r="G20" s="22">
        <f t="shared" si="6"/>
        <v>3.5</v>
      </c>
      <c r="H20" s="9">
        <f t="shared" si="7"/>
        <v>14</v>
      </c>
      <c r="I20" s="118"/>
      <c r="S20" s="41"/>
    </row>
    <row r="21" spans="1:28" ht="15" customHeight="1" x14ac:dyDescent="0.2">
      <c r="A21" s="37" t="s">
        <v>85</v>
      </c>
      <c r="B21" s="37"/>
      <c r="I21" s="1"/>
      <c r="L21" s="44"/>
      <c r="M21" s="44"/>
      <c r="N21" s="40"/>
      <c r="O21" s="40"/>
      <c r="P21" s="49"/>
      <c r="Q21" s="51"/>
      <c r="R21" s="50"/>
      <c r="S21" s="41"/>
    </row>
    <row r="22" spans="1:28" x14ac:dyDescent="0.2">
      <c r="L22" s="52"/>
      <c r="M22" s="52"/>
      <c r="N22" s="40"/>
      <c r="O22" s="40"/>
      <c r="P22" s="49"/>
      <c r="Q22" s="51"/>
      <c r="R22" s="50"/>
      <c r="S22" s="41"/>
    </row>
    <row r="23" spans="1:28" ht="15" customHeight="1" x14ac:dyDescent="0.2">
      <c r="L23" s="44"/>
      <c r="M23" s="44"/>
      <c r="N23" s="40"/>
      <c r="O23" s="40"/>
      <c r="P23" s="49"/>
      <c r="Q23" s="51"/>
      <c r="R23" s="50"/>
      <c r="S23" s="41"/>
    </row>
    <row r="24" spans="1:28" ht="16" customHeight="1" x14ac:dyDescent="0.2">
      <c r="L24" s="44"/>
      <c r="M24" s="44"/>
      <c r="N24" s="40"/>
      <c r="O24" s="40"/>
      <c r="P24" s="49"/>
      <c r="Q24" s="51"/>
      <c r="R24" s="50"/>
      <c r="S24" s="41"/>
    </row>
    <row r="25" spans="1:28" ht="15" customHeight="1" x14ac:dyDescent="0.2">
      <c r="S25" s="41"/>
    </row>
    <row r="27" spans="1:28" ht="16" customHeight="1" x14ac:dyDescent="0.2">
      <c r="J27" s="1"/>
      <c r="K27" s="1"/>
      <c r="L27" s="1"/>
      <c r="M27" s="1"/>
      <c r="S27" s="49"/>
      <c r="U27" s="1"/>
      <c r="W27" s="1"/>
      <c r="X27" s="1"/>
      <c r="Y27" s="1"/>
      <c r="Z27" s="1"/>
      <c r="AA27" s="1"/>
      <c r="AB27" s="1"/>
    </row>
    <row r="28" spans="1:28" x14ac:dyDescent="0.2">
      <c r="S28" s="49"/>
    </row>
    <row r="29" spans="1:28" x14ac:dyDescent="0.2">
      <c r="S29" s="49"/>
    </row>
    <row r="30" spans="1:28" ht="15" customHeight="1" x14ac:dyDescent="0.2">
      <c r="S30" s="49"/>
    </row>
    <row r="31" spans="1:28" ht="15" customHeight="1" x14ac:dyDescent="0.2"/>
    <row r="33" ht="15" customHeight="1" x14ac:dyDescent="0.2"/>
    <row r="35" ht="15" customHeight="1" x14ac:dyDescent="0.2"/>
    <row r="37" ht="15" customHeight="1" x14ac:dyDescent="0.2"/>
  </sheetData>
  <mergeCells count="12">
    <mergeCell ref="A3:A5"/>
    <mergeCell ref="I3:I5"/>
    <mergeCell ref="A6:A8"/>
    <mergeCell ref="I6:I8"/>
    <mergeCell ref="A9:A11"/>
    <mergeCell ref="I9:I11"/>
    <mergeCell ref="A18:A20"/>
    <mergeCell ref="I18:I20"/>
    <mergeCell ref="A12:A14"/>
    <mergeCell ref="I12:I14"/>
    <mergeCell ref="A15:A17"/>
    <mergeCell ref="I15:I17"/>
  </mergeCells>
  <pageMargins left="0.75" right="0.75" top="1" bottom="1" header="0.5" footer="0.5"/>
  <pageSetup scale="56"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91CB0-4ED0-6749-A87F-9C160F20A588}">
  <dimension ref="A1:V22"/>
  <sheetViews>
    <sheetView workbookViewId="0">
      <selection activeCell="P1" sqref="P1:V8"/>
    </sheetView>
  </sheetViews>
  <sheetFormatPr baseColWidth="10" defaultRowHeight="16" x14ac:dyDescent="0.2"/>
  <cols>
    <col min="1" max="1" width="9.1640625" bestFit="1" customWidth="1"/>
    <col min="2" max="2" width="3.83203125" bestFit="1" customWidth="1"/>
    <col min="3" max="4" width="4.6640625" bestFit="1" customWidth="1"/>
    <col min="5" max="5" width="3.5" bestFit="1" customWidth="1"/>
    <col min="6" max="6" width="4.1640625" bestFit="1" customWidth="1"/>
    <col min="7" max="8" width="4.6640625" bestFit="1" customWidth="1"/>
    <col min="9" max="9" width="3.5" bestFit="1" customWidth="1"/>
    <col min="10" max="10" width="4.1640625" bestFit="1" customWidth="1"/>
    <col min="11" max="11" width="9.83203125" bestFit="1" customWidth="1"/>
    <col min="12" max="12" width="9.1640625" bestFit="1" customWidth="1"/>
    <col min="13" max="13" width="8.6640625" bestFit="1" customWidth="1"/>
  </cols>
  <sheetData>
    <row r="1" spans="1:22" x14ac:dyDescent="0.2">
      <c r="A1" s="76" t="s">
        <v>0</v>
      </c>
      <c r="B1" s="76"/>
      <c r="C1" s="126" t="s">
        <v>86</v>
      </c>
      <c r="D1" s="126"/>
      <c r="E1" s="126"/>
      <c r="F1" s="77"/>
      <c r="G1" s="126" t="s">
        <v>87</v>
      </c>
      <c r="H1" s="126"/>
      <c r="I1" s="126"/>
      <c r="J1" s="78"/>
      <c r="K1" s="79"/>
      <c r="L1" s="79"/>
      <c r="M1" s="79"/>
      <c r="P1" s="111" t="s">
        <v>103</v>
      </c>
      <c r="Q1" s="111"/>
      <c r="R1" s="111"/>
      <c r="S1" s="111"/>
      <c r="T1" s="111"/>
      <c r="U1" s="111"/>
      <c r="V1" s="111"/>
    </row>
    <row r="2" spans="1:22" ht="34" x14ac:dyDescent="0.2">
      <c r="A2" s="80"/>
      <c r="B2" s="80" t="s">
        <v>71</v>
      </c>
      <c r="C2" s="80">
        <v>1</v>
      </c>
      <c r="D2" s="80">
        <v>2</v>
      </c>
      <c r="E2" s="81">
        <v>3</v>
      </c>
      <c r="F2" s="81">
        <v>4</v>
      </c>
      <c r="G2" s="80">
        <v>1</v>
      </c>
      <c r="H2" s="80">
        <v>2</v>
      </c>
      <c r="I2" s="81">
        <v>3</v>
      </c>
      <c r="J2" s="81">
        <v>4</v>
      </c>
      <c r="K2" s="82" t="s">
        <v>57</v>
      </c>
      <c r="L2" s="83" t="s">
        <v>74</v>
      </c>
      <c r="M2" s="83" t="s">
        <v>75</v>
      </c>
      <c r="P2" s="25"/>
      <c r="Q2" s="25" t="s">
        <v>98</v>
      </c>
      <c r="R2" s="25" t="s">
        <v>77</v>
      </c>
      <c r="S2" s="25" t="s">
        <v>78</v>
      </c>
      <c r="T2" s="25" t="s">
        <v>79</v>
      </c>
      <c r="U2" s="29" t="s">
        <v>88</v>
      </c>
      <c r="V2" s="25" t="s">
        <v>80</v>
      </c>
    </row>
    <row r="3" spans="1:22" x14ac:dyDescent="0.2">
      <c r="A3" s="127" t="s">
        <v>3</v>
      </c>
      <c r="B3" s="84" t="s">
        <v>63</v>
      </c>
      <c r="C3" s="85" t="s">
        <v>64</v>
      </c>
      <c r="D3" s="86">
        <v>149</v>
      </c>
      <c r="E3" s="86"/>
      <c r="F3" s="86"/>
      <c r="G3" s="85" t="s">
        <v>64</v>
      </c>
      <c r="H3" s="86">
        <v>128</v>
      </c>
      <c r="I3" s="86"/>
      <c r="J3" s="86"/>
      <c r="K3" s="85">
        <v>0.1</v>
      </c>
      <c r="L3" s="87">
        <f>AVERAGE(D3,H3)</f>
        <v>138.5</v>
      </c>
      <c r="M3" s="88">
        <f>(L3/(0.01*K3))*0.2</f>
        <v>27700</v>
      </c>
      <c r="P3" s="25" t="s">
        <v>3</v>
      </c>
      <c r="Q3" s="75" t="s">
        <v>84</v>
      </c>
      <c r="R3" s="9">
        <v>31566.666666666668</v>
      </c>
      <c r="S3" s="9">
        <v>4843.8965031607822</v>
      </c>
      <c r="T3" s="13">
        <v>2.4465811965811968</v>
      </c>
      <c r="U3" s="2"/>
      <c r="V3" s="23">
        <v>1</v>
      </c>
    </row>
    <row r="4" spans="1:22" x14ac:dyDescent="0.2">
      <c r="A4" s="128"/>
      <c r="B4" s="84" t="s">
        <v>65</v>
      </c>
      <c r="C4" s="85" t="s">
        <v>64</v>
      </c>
      <c r="D4" s="85" t="s">
        <v>64</v>
      </c>
      <c r="E4" s="86">
        <v>14</v>
      </c>
      <c r="F4" s="86"/>
      <c r="G4" s="85" t="s">
        <v>64</v>
      </c>
      <c r="H4" s="85" t="s">
        <v>64</v>
      </c>
      <c r="I4" s="86">
        <v>16</v>
      </c>
      <c r="J4" s="86"/>
      <c r="K4" s="85">
        <v>0.01</v>
      </c>
      <c r="L4" s="87">
        <f>AVERAGE(E4,I4)</f>
        <v>15</v>
      </c>
      <c r="M4" s="88">
        <f>(L4/(0.01*K4))*0.2</f>
        <v>30000</v>
      </c>
      <c r="P4" s="25" t="s">
        <v>104</v>
      </c>
      <c r="Q4" s="75" t="s">
        <v>84</v>
      </c>
      <c r="R4" s="9">
        <v>0</v>
      </c>
      <c r="S4" s="9">
        <v>0</v>
      </c>
      <c r="T4" s="13">
        <v>2.7136752136752138</v>
      </c>
      <c r="U4" s="92">
        <v>3.510615495276725E-4</v>
      </c>
      <c r="V4" s="23" t="e">
        <v>#DIV/0!</v>
      </c>
    </row>
    <row r="5" spans="1:22" x14ac:dyDescent="0.2">
      <c r="A5" s="129"/>
      <c r="B5" s="84" t="s">
        <v>81</v>
      </c>
      <c r="C5" s="85" t="s">
        <v>64</v>
      </c>
      <c r="D5" s="85" t="s">
        <v>64</v>
      </c>
      <c r="E5" s="86">
        <v>14</v>
      </c>
      <c r="F5" s="86"/>
      <c r="G5" s="85" t="s">
        <v>64</v>
      </c>
      <c r="H5" s="85" t="s">
        <v>64</v>
      </c>
      <c r="I5" s="86">
        <v>23</v>
      </c>
      <c r="J5" s="86"/>
      <c r="K5" s="85">
        <v>0.01</v>
      </c>
      <c r="L5" s="87">
        <f>AVERAGE(E5,I5)</f>
        <v>18.5</v>
      </c>
      <c r="M5" s="88">
        <f t="shared" ref="M5:M14" si="0">(L5/(0.01*K5))*0.2</f>
        <v>37000</v>
      </c>
      <c r="P5" s="25" t="s">
        <v>4</v>
      </c>
      <c r="Q5" s="75" t="s">
        <v>84</v>
      </c>
      <c r="R5" s="9">
        <v>23.333333333333332</v>
      </c>
      <c r="S5" s="9">
        <v>15.275252316519468</v>
      </c>
      <c r="T5" s="13">
        <v>3.6217948717948718</v>
      </c>
      <c r="U5" s="92">
        <v>3.5208181032403597E-4</v>
      </c>
      <c r="V5" s="23">
        <v>-1352.8571428571429</v>
      </c>
    </row>
    <row r="6" spans="1:22" x14ac:dyDescent="0.2">
      <c r="A6" s="122" t="s">
        <v>104</v>
      </c>
      <c r="B6" s="84" t="s">
        <v>66</v>
      </c>
      <c r="C6" s="86">
        <v>0</v>
      </c>
      <c r="D6" s="85"/>
      <c r="E6" s="86"/>
      <c r="F6" s="86"/>
      <c r="G6" s="86">
        <v>0</v>
      </c>
      <c r="H6" s="85"/>
      <c r="I6" s="86"/>
      <c r="J6" s="86"/>
      <c r="K6" s="85">
        <v>1</v>
      </c>
      <c r="L6" s="87">
        <f>AVERAGE(C6,G6)</f>
        <v>0</v>
      </c>
      <c r="M6" s="88">
        <f>(L6/(0.05*K6))*0.2</f>
        <v>0</v>
      </c>
      <c r="P6" s="93" t="s">
        <v>3</v>
      </c>
      <c r="Q6" s="94" t="s">
        <v>97</v>
      </c>
      <c r="R6" s="9">
        <v>61333.333333333336</v>
      </c>
      <c r="S6" s="9">
        <v>13012.814197295411</v>
      </c>
      <c r="T6" s="13">
        <v>2.8205128205128207</v>
      </c>
      <c r="U6" s="92">
        <v>2.0597505974507966E-2</v>
      </c>
      <c r="V6" s="23">
        <v>1.9429778247096092</v>
      </c>
    </row>
    <row r="7" spans="1:22" x14ac:dyDescent="0.2">
      <c r="A7" s="123"/>
      <c r="B7" s="84" t="s">
        <v>67</v>
      </c>
      <c r="C7" s="86">
        <v>0</v>
      </c>
      <c r="D7" s="85"/>
      <c r="E7" s="86"/>
      <c r="F7" s="86"/>
      <c r="G7" s="86">
        <v>0</v>
      </c>
      <c r="H7" s="85"/>
      <c r="I7" s="86"/>
      <c r="J7" s="86"/>
      <c r="K7" s="85">
        <v>1</v>
      </c>
      <c r="L7" s="87">
        <f>AVERAGE(C7,G7)</f>
        <v>0</v>
      </c>
      <c r="M7" s="88">
        <f>(L7/(0.05*K7))*0.2</f>
        <v>0</v>
      </c>
      <c r="P7" s="25" t="s">
        <v>104</v>
      </c>
      <c r="Q7" s="75" t="s">
        <v>97</v>
      </c>
      <c r="R7" s="9">
        <v>0</v>
      </c>
      <c r="S7" s="9">
        <v>0</v>
      </c>
      <c r="T7" s="13">
        <v>2.841880341880342</v>
      </c>
      <c r="U7" s="92">
        <v>3.510615495276725E-4</v>
      </c>
      <c r="V7" s="23" t="e">
        <v>#DIV/0!</v>
      </c>
    </row>
    <row r="8" spans="1:22" x14ac:dyDescent="0.2">
      <c r="A8" s="124"/>
      <c r="B8" s="84" t="s">
        <v>82</v>
      </c>
      <c r="C8" s="86">
        <v>0</v>
      </c>
      <c r="D8" s="85"/>
      <c r="E8" s="86"/>
      <c r="F8" s="86"/>
      <c r="G8" s="86">
        <v>0</v>
      </c>
      <c r="H8" s="85"/>
      <c r="I8" s="86"/>
      <c r="J8" s="86"/>
      <c r="K8" s="85">
        <v>1</v>
      </c>
      <c r="L8" s="87">
        <f>AVERAGE(C8,G8)</f>
        <v>0</v>
      </c>
      <c r="M8" s="88">
        <f t="shared" ref="M8" si="1">(L8/(0.05*K8))*0.2</f>
        <v>0</v>
      </c>
      <c r="P8" s="25" t="s">
        <v>4</v>
      </c>
      <c r="Q8" s="75" t="s">
        <v>97</v>
      </c>
      <c r="R8" s="9">
        <v>95666.666666666672</v>
      </c>
      <c r="S8" s="9">
        <v>22501.851775650244</v>
      </c>
      <c r="T8" s="13">
        <v>3.6324786324786325</v>
      </c>
      <c r="U8" s="92">
        <v>8.5012287041458332E-3</v>
      </c>
      <c r="V8" s="23">
        <v>3.0306230200633579</v>
      </c>
    </row>
    <row r="9" spans="1:22" x14ac:dyDescent="0.2">
      <c r="A9" s="122" t="s">
        <v>102</v>
      </c>
      <c r="B9" s="84" t="s">
        <v>68</v>
      </c>
      <c r="C9" s="86">
        <v>8</v>
      </c>
      <c r="D9" s="86"/>
      <c r="E9" s="85"/>
      <c r="F9" s="85"/>
      <c r="G9" s="86">
        <v>2</v>
      </c>
      <c r="H9" s="86"/>
      <c r="I9" s="85"/>
      <c r="J9" s="85"/>
      <c r="K9" s="85">
        <v>1</v>
      </c>
      <c r="L9" s="89">
        <f>AVERAGE(C9,G9)</f>
        <v>5</v>
      </c>
      <c r="M9" s="88">
        <f>(L9/(0.05*K9))*0.2</f>
        <v>20</v>
      </c>
    </row>
    <row r="10" spans="1:22" x14ac:dyDescent="0.2">
      <c r="A10" s="123"/>
      <c r="B10" s="84" t="s">
        <v>69</v>
      </c>
      <c r="C10" s="86">
        <v>2</v>
      </c>
      <c r="D10" s="86"/>
      <c r="E10" s="85"/>
      <c r="F10" s="85"/>
      <c r="G10" s="86">
        <v>6</v>
      </c>
      <c r="H10" s="86"/>
      <c r="I10" s="85"/>
      <c r="J10" s="85"/>
      <c r="K10" s="85">
        <v>2</v>
      </c>
      <c r="L10" s="89">
        <f t="shared" ref="L10:L11" si="2">AVERAGE(C10,G10)</f>
        <v>4</v>
      </c>
      <c r="M10" s="88">
        <f t="shared" si="0"/>
        <v>40</v>
      </c>
    </row>
    <row r="11" spans="1:22" x14ac:dyDescent="0.2">
      <c r="A11" s="124"/>
      <c r="B11" s="84" t="s">
        <v>83</v>
      </c>
      <c r="C11" s="86">
        <v>0</v>
      </c>
      <c r="D11" s="86"/>
      <c r="E11" s="85"/>
      <c r="F11" s="85"/>
      <c r="G11" s="86">
        <v>3</v>
      </c>
      <c r="H11" s="86"/>
      <c r="I11" s="85"/>
      <c r="J11" s="85"/>
      <c r="K11" s="85">
        <v>3</v>
      </c>
      <c r="L11" s="89">
        <f t="shared" si="2"/>
        <v>1.5</v>
      </c>
      <c r="M11" s="88">
        <f t="shared" si="0"/>
        <v>10</v>
      </c>
    </row>
    <row r="12" spans="1:22" x14ac:dyDescent="0.2">
      <c r="A12" s="127" t="s">
        <v>3</v>
      </c>
      <c r="B12" s="84" t="s">
        <v>90</v>
      </c>
      <c r="C12" s="85" t="s">
        <v>64</v>
      </c>
      <c r="D12" s="85" t="s">
        <v>64</v>
      </c>
      <c r="E12" s="86">
        <v>31</v>
      </c>
      <c r="F12" s="85"/>
      <c r="G12" s="85" t="s">
        <v>64</v>
      </c>
      <c r="H12" s="85" t="s">
        <v>64</v>
      </c>
      <c r="I12" s="86">
        <v>43</v>
      </c>
      <c r="J12" s="85"/>
      <c r="K12" s="85">
        <v>0.01</v>
      </c>
      <c r="L12" s="87">
        <f>AVERAGE(E12,I12)</f>
        <v>37</v>
      </c>
      <c r="M12" s="88">
        <f t="shared" si="0"/>
        <v>74000</v>
      </c>
    </row>
    <row r="13" spans="1:22" x14ac:dyDescent="0.2">
      <c r="A13" s="128"/>
      <c r="B13" s="84" t="s">
        <v>91</v>
      </c>
      <c r="C13" s="85" t="s">
        <v>64</v>
      </c>
      <c r="D13" s="85" t="s">
        <v>64</v>
      </c>
      <c r="E13" s="86">
        <v>31</v>
      </c>
      <c r="F13" s="85"/>
      <c r="G13" s="85" t="s">
        <v>64</v>
      </c>
      <c r="H13" s="85" t="s">
        <v>64</v>
      </c>
      <c r="I13" s="86">
        <v>31</v>
      </c>
      <c r="J13" s="85"/>
      <c r="K13" s="85">
        <v>0.01</v>
      </c>
      <c r="L13" s="87">
        <f>AVERAGE(E13,I13)</f>
        <v>31</v>
      </c>
      <c r="M13" s="88">
        <f t="shared" si="0"/>
        <v>62000</v>
      </c>
    </row>
    <row r="14" spans="1:22" x14ac:dyDescent="0.2">
      <c r="A14" s="129"/>
      <c r="B14" s="84" t="s">
        <v>99</v>
      </c>
      <c r="C14" s="85" t="s">
        <v>64</v>
      </c>
      <c r="D14" s="85" t="s">
        <v>64</v>
      </c>
      <c r="E14" s="86">
        <v>23</v>
      </c>
      <c r="F14" s="85"/>
      <c r="G14" s="85" t="s">
        <v>64</v>
      </c>
      <c r="H14" s="85" t="s">
        <v>64</v>
      </c>
      <c r="I14" s="86">
        <v>25</v>
      </c>
      <c r="J14" s="85"/>
      <c r="K14" s="85">
        <v>0.01</v>
      </c>
      <c r="L14" s="87">
        <f>AVERAGE(E14,I14)</f>
        <v>24</v>
      </c>
      <c r="M14" s="88">
        <f t="shared" si="0"/>
        <v>48000</v>
      </c>
    </row>
    <row r="15" spans="1:22" x14ac:dyDescent="0.2">
      <c r="A15" s="122" t="s">
        <v>104</v>
      </c>
      <c r="B15" s="84" t="s">
        <v>92</v>
      </c>
      <c r="C15" s="86">
        <v>0</v>
      </c>
      <c r="D15" s="85"/>
      <c r="E15" s="86"/>
      <c r="F15" s="86"/>
      <c r="G15" s="90">
        <v>0</v>
      </c>
      <c r="H15" s="85"/>
      <c r="I15" s="86"/>
      <c r="J15" s="86"/>
      <c r="K15" s="85">
        <v>1</v>
      </c>
      <c r="L15" s="89">
        <f>AVERAGE(C15,G15)</f>
        <v>0</v>
      </c>
      <c r="M15" s="88">
        <f>(L15/(0.01*K15))*0.2</f>
        <v>0</v>
      </c>
    </row>
    <row r="16" spans="1:22" x14ac:dyDescent="0.2">
      <c r="A16" s="123"/>
      <c r="B16" s="84" t="s">
        <v>93</v>
      </c>
      <c r="C16" s="86">
        <v>0</v>
      </c>
      <c r="D16" s="85"/>
      <c r="E16" s="86"/>
      <c r="F16" s="86"/>
      <c r="G16" s="86">
        <v>0</v>
      </c>
      <c r="H16" s="85"/>
      <c r="I16" s="86"/>
      <c r="J16" s="86"/>
      <c r="K16" s="85">
        <v>1</v>
      </c>
      <c r="L16" s="89">
        <f>AVERAGE(C16,G16)</f>
        <v>0</v>
      </c>
      <c r="M16" s="88">
        <f>(L16/(0.01*K16))*0.2</f>
        <v>0</v>
      </c>
    </row>
    <row r="17" spans="1:13" x14ac:dyDescent="0.2">
      <c r="A17" s="124"/>
      <c r="B17" s="84" t="s">
        <v>100</v>
      </c>
      <c r="C17" s="86">
        <v>0</v>
      </c>
      <c r="D17" s="86"/>
      <c r="E17" s="86"/>
      <c r="F17" s="86"/>
      <c r="G17" s="86">
        <v>0</v>
      </c>
      <c r="H17" s="86"/>
      <c r="I17" s="86"/>
      <c r="J17" s="86"/>
      <c r="K17" s="85">
        <v>1</v>
      </c>
      <c r="L17" s="89">
        <f>AVERAGE(C17,G17)</f>
        <v>0</v>
      </c>
      <c r="M17" s="88">
        <f>(L17/(0.01*K17))*0.2</f>
        <v>0</v>
      </c>
    </row>
    <row r="18" spans="1:13" x14ac:dyDescent="0.2">
      <c r="A18" s="122" t="s">
        <v>4</v>
      </c>
      <c r="B18" s="84" t="s">
        <v>94</v>
      </c>
      <c r="C18" s="85" t="s">
        <v>64</v>
      </c>
      <c r="D18" s="85" t="s">
        <v>64</v>
      </c>
      <c r="E18" s="86">
        <v>47</v>
      </c>
      <c r="F18" s="86"/>
      <c r="G18" s="85" t="s">
        <v>64</v>
      </c>
      <c r="H18" s="85" t="s">
        <v>64</v>
      </c>
      <c r="I18" s="86">
        <v>41</v>
      </c>
      <c r="J18" s="86"/>
      <c r="K18" s="85">
        <v>0.01</v>
      </c>
      <c r="L18" s="87">
        <f>AVERAGE(E18,I18)</f>
        <v>44</v>
      </c>
      <c r="M18" s="88">
        <f t="shared" ref="M18:M20" si="3">(L18/(0.01*K18))*0.2</f>
        <v>88000</v>
      </c>
    </row>
    <row r="19" spans="1:13" x14ac:dyDescent="0.2">
      <c r="A19" s="123"/>
      <c r="B19" s="84" t="s">
        <v>95</v>
      </c>
      <c r="C19" s="85" t="s">
        <v>64</v>
      </c>
      <c r="D19" s="85" t="s">
        <v>64</v>
      </c>
      <c r="E19" s="86">
        <v>86</v>
      </c>
      <c r="F19" s="86"/>
      <c r="G19" s="85" t="s">
        <v>64</v>
      </c>
      <c r="H19" s="85" t="s">
        <v>64</v>
      </c>
      <c r="I19" s="86">
        <v>35</v>
      </c>
      <c r="J19" s="86"/>
      <c r="K19" s="85">
        <v>0.01</v>
      </c>
      <c r="L19" s="87">
        <f>AVERAGE(E19,I19)</f>
        <v>60.5</v>
      </c>
      <c r="M19" s="88">
        <f t="shared" si="3"/>
        <v>121000</v>
      </c>
    </row>
    <row r="20" spans="1:13" x14ac:dyDescent="0.2">
      <c r="A20" s="124"/>
      <c r="B20" s="84" t="s">
        <v>101</v>
      </c>
      <c r="C20" s="85" t="s">
        <v>64</v>
      </c>
      <c r="D20" s="85" t="s">
        <v>64</v>
      </c>
      <c r="E20" s="86">
        <v>32</v>
      </c>
      <c r="F20" s="86"/>
      <c r="G20" s="85" t="s">
        <v>64</v>
      </c>
      <c r="H20" s="85" t="s">
        <v>64</v>
      </c>
      <c r="I20" s="86">
        <v>46</v>
      </c>
      <c r="J20" s="86"/>
      <c r="K20" s="85">
        <v>0.01</v>
      </c>
      <c r="L20" s="87">
        <f>AVERAGE(E20,I20)</f>
        <v>39</v>
      </c>
      <c r="M20" s="88">
        <f t="shared" si="3"/>
        <v>78000</v>
      </c>
    </row>
    <row r="21" spans="1:13" x14ac:dyDescent="0.2">
      <c r="A21" s="89" t="s">
        <v>70</v>
      </c>
      <c r="B21" s="89"/>
      <c r="C21" s="89">
        <v>1</v>
      </c>
      <c r="D21" s="89">
        <f>C21/10</f>
        <v>0.1</v>
      </c>
      <c r="E21" s="89">
        <f>D21/10</f>
        <v>0.01</v>
      </c>
      <c r="F21" s="89">
        <v>1E-3</v>
      </c>
      <c r="G21" s="89">
        <v>1</v>
      </c>
      <c r="H21" s="89">
        <f>G21/10</f>
        <v>0.1</v>
      </c>
      <c r="I21" s="89">
        <f>H21/10</f>
        <v>0.01</v>
      </c>
      <c r="J21" s="79">
        <v>1E-3</v>
      </c>
      <c r="K21" s="79"/>
      <c r="L21" s="79"/>
      <c r="M21" s="91"/>
    </row>
    <row r="22" spans="1:13" x14ac:dyDescent="0.2">
      <c r="A22" s="125" t="s">
        <v>89</v>
      </c>
      <c r="B22" s="125"/>
      <c r="C22" s="125"/>
      <c r="D22" s="79"/>
      <c r="E22" s="79"/>
      <c r="F22" s="79"/>
      <c r="G22" s="79"/>
      <c r="H22" s="79"/>
      <c r="I22" s="79"/>
      <c r="J22" s="79"/>
      <c r="K22" s="79"/>
      <c r="L22" s="79"/>
      <c r="M22" s="79"/>
    </row>
  </sheetData>
  <mergeCells count="10">
    <mergeCell ref="A15:A17"/>
    <mergeCell ref="A18:A20"/>
    <mergeCell ref="A22:C22"/>
    <mergeCell ref="P1:V1"/>
    <mergeCell ref="C1:E1"/>
    <mergeCell ref="G1:I1"/>
    <mergeCell ref="A3:A5"/>
    <mergeCell ref="A6:A8"/>
    <mergeCell ref="A9:A11"/>
    <mergeCell ref="A12:A14"/>
  </mergeCells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3F144-0068-344F-A19C-2945CA9942F0}">
  <sheetPr>
    <pageSetUpPr fitToPage="1"/>
  </sheetPr>
  <dimension ref="A2:Y38"/>
  <sheetViews>
    <sheetView zoomScale="180" zoomScaleNormal="180" workbookViewId="0">
      <selection activeCell="C9" sqref="C9"/>
    </sheetView>
  </sheetViews>
  <sheetFormatPr baseColWidth="10" defaultColWidth="10.6640625" defaultRowHeight="16" x14ac:dyDescent="0.2"/>
  <cols>
    <col min="1" max="1" width="16" bestFit="1" customWidth="1"/>
    <col min="2" max="2" width="10.6640625" bestFit="1" customWidth="1"/>
    <col min="3" max="3" width="4.83203125" bestFit="1" customWidth="1"/>
    <col min="4" max="4" width="31.6640625" customWidth="1"/>
    <col min="6" max="8" width="16.33203125" customWidth="1"/>
    <col min="10" max="12" width="16.33203125" customWidth="1"/>
    <col min="15" max="15" width="26.6640625" bestFit="1" customWidth="1"/>
    <col min="18" max="18" width="33.5" bestFit="1" customWidth="1"/>
  </cols>
  <sheetData>
    <row r="2" spans="1:8" x14ac:dyDescent="0.2">
      <c r="H2" s="1"/>
    </row>
    <row r="4" spans="1:8" x14ac:dyDescent="0.2">
      <c r="A4" s="56"/>
      <c r="B4" s="57" t="s">
        <v>21</v>
      </c>
      <c r="C4" s="56"/>
      <c r="D4" s="56"/>
    </row>
    <row r="5" spans="1:8" x14ac:dyDescent="0.2">
      <c r="A5" s="58" t="s">
        <v>22</v>
      </c>
      <c r="B5" s="58" t="s">
        <v>23</v>
      </c>
      <c r="C5" s="58" t="s">
        <v>24</v>
      </c>
      <c r="D5" s="58" t="s">
        <v>25</v>
      </c>
    </row>
    <row r="6" spans="1:8" x14ac:dyDescent="0.2">
      <c r="A6" s="59" t="s">
        <v>26</v>
      </c>
      <c r="B6" s="59">
        <v>8</v>
      </c>
      <c r="C6" s="59"/>
      <c r="D6" s="59" t="s">
        <v>131</v>
      </c>
    </row>
    <row r="7" spans="1:8" x14ac:dyDescent="0.2">
      <c r="A7" s="59" t="s">
        <v>27</v>
      </c>
      <c r="B7" s="59">
        <v>0</v>
      </c>
      <c r="C7" s="59">
        <v>16</v>
      </c>
      <c r="D7" s="59" t="s">
        <v>132</v>
      </c>
    </row>
    <row r="8" spans="1:8" x14ac:dyDescent="0.2">
      <c r="A8" s="59" t="s">
        <v>30</v>
      </c>
      <c r="B8" s="59">
        <v>0</v>
      </c>
      <c r="C8" s="59">
        <v>0</v>
      </c>
      <c r="D8" s="59" t="s">
        <v>133</v>
      </c>
    </row>
    <row r="9" spans="1:8" ht="25" x14ac:dyDescent="0.2">
      <c r="A9" s="59" t="s">
        <v>32</v>
      </c>
      <c r="B9" s="59">
        <v>4</v>
      </c>
      <c r="C9" s="59">
        <v>28</v>
      </c>
      <c r="D9" s="60" t="s">
        <v>134</v>
      </c>
    </row>
    <row r="10" spans="1:8" x14ac:dyDescent="0.2">
      <c r="A10" s="59" t="s">
        <v>34</v>
      </c>
      <c r="B10" s="59">
        <f>SUM(B6:B9)</f>
        <v>12</v>
      </c>
      <c r="C10" s="59">
        <f>SUM(C6:C9)</f>
        <v>44</v>
      </c>
      <c r="D10" s="132" t="s">
        <v>37</v>
      </c>
    </row>
    <row r="11" spans="1:8" ht="17" thickBot="1" x14ac:dyDescent="0.25">
      <c r="A11" s="61" t="s">
        <v>36</v>
      </c>
      <c r="B11" s="61">
        <f>B10/25</f>
        <v>0.48</v>
      </c>
      <c r="C11" s="62">
        <f>C10/20</f>
        <v>2.2000000000000002</v>
      </c>
      <c r="D11" s="132"/>
    </row>
    <row r="12" spans="1:8" ht="17" thickBot="1" x14ac:dyDescent="0.25">
      <c r="A12" s="63" t="s">
        <v>39</v>
      </c>
      <c r="B12" s="64">
        <f>SUM(B11:C11)</f>
        <v>2.68</v>
      </c>
      <c r="C12" s="56"/>
      <c r="D12" s="56"/>
    </row>
    <row r="27" spans="1:25" x14ac:dyDescent="0.2">
      <c r="V27" s="130" t="s">
        <v>44</v>
      </c>
      <c r="W27" s="131"/>
    </row>
    <row r="28" spans="1:25" ht="68" x14ac:dyDescent="0.2">
      <c r="S28" s="11" t="s">
        <v>45</v>
      </c>
      <c r="T28" s="11" t="s">
        <v>46</v>
      </c>
      <c r="U28" s="6" t="s">
        <v>47</v>
      </c>
      <c r="V28" s="6" t="s">
        <v>48</v>
      </c>
      <c r="W28" s="6" t="s">
        <v>49</v>
      </c>
      <c r="X28" s="6" t="s">
        <v>50</v>
      </c>
      <c r="Y28" s="6" t="s">
        <v>51</v>
      </c>
    </row>
    <row r="29" spans="1:25" ht="17" x14ac:dyDescent="0.2">
      <c r="S29" s="11">
        <v>1</v>
      </c>
      <c r="T29" s="6" t="s">
        <v>3</v>
      </c>
      <c r="U29" s="2">
        <v>0.9</v>
      </c>
      <c r="V29" s="2">
        <v>36.1</v>
      </c>
      <c r="W29" s="2">
        <f>1300-V29</f>
        <v>1263.9000000000001</v>
      </c>
      <c r="X29" s="2">
        <v>1.9E-2</v>
      </c>
      <c r="Y29" s="2">
        <v>12.5</v>
      </c>
    </row>
    <row r="30" spans="1:25" ht="18" thickBot="1" x14ac:dyDescent="0.25">
      <c r="A30" s="2" t="s">
        <v>0</v>
      </c>
      <c r="B30" s="3">
        <v>1</v>
      </c>
      <c r="C30" s="3">
        <v>2</v>
      </c>
      <c r="D30" s="3">
        <v>3</v>
      </c>
      <c r="E30" s="3">
        <v>4</v>
      </c>
      <c r="F30" s="3">
        <v>5</v>
      </c>
      <c r="G30" s="3">
        <v>6</v>
      </c>
      <c r="H30" s="3">
        <v>7</v>
      </c>
      <c r="I30" s="3">
        <v>8</v>
      </c>
      <c r="J30" s="3">
        <v>9</v>
      </c>
      <c r="K30" s="3">
        <v>10</v>
      </c>
      <c r="L30" s="3">
        <v>11</v>
      </c>
      <c r="M30" s="3">
        <v>12</v>
      </c>
      <c r="S30" s="11">
        <v>2</v>
      </c>
      <c r="T30" s="20" t="s">
        <v>52</v>
      </c>
      <c r="U30" s="2">
        <v>1.1000000000000001</v>
      </c>
      <c r="V30" s="2">
        <v>29.5</v>
      </c>
      <c r="W30" s="2">
        <f t="shared" ref="W30:W31" si="0">1300-V30</f>
        <v>1270.5</v>
      </c>
      <c r="X30" s="2">
        <v>0.02</v>
      </c>
      <c r="Y30" s="2">
        <v>12.5</v>
      </c>
    </row>
    <row r="31" spans="1:25" ht="34" x14ac:dyDescent="0.2">
      <c r="A31" s="5" t="s">
        <v>2</v>
      </c>
      <c r="B31" s="6" t="s">
        <v>53</v>
      </c>
      <c r="C31" s="6"/>
      <c r="D31" s="6"/>
      <c r="E31" s="7"/>
      <c r="F31" s="7"/>
      <c r="G31" s="20"/>
      <c r="H31" s="20"/>
      <c r="I31" s="20"/>
      <c r="J31" s="7"/>
      <c r="K31" s="7"/>
      <c r="L31" s="7"/>
      <c r="M31" s="7"/>
      <c r="S31" s="11">
        <v>3</v>
      </c>
      <c r="T31" s="20" t="s">
        <v>54</v>
      </c>
      <c r="U31" s="2">
        <v>1.27</v>
      </c>
      <c r="V31" s="2">
        <v>25.6</v>
      </c>
      <c r="W31" s="2">
        <f t="shared" si="0"/>
        <v>1274.4000000000001</v>
      </c>
      <c r="X31" s="2">
        <v>2.1000000000000001E-2</v>
      </c>
      <c r="Y31" s="2">
        <v>12.5</v>
      </c>
    </row>
    <row r="32" spans="1:25" x14ac:dyDescent="0.2">
      <c r="A32" s="5" t="s">
        <v>6</v>
      </c>
      <c r="B32" s="10">
        <v>0.1</v>
      </c>
      <c r="C32" s="2"/>
      <c r="D32" s="6"/>
      <c r="E32" s="6"/>
      <c r="F32" s="6"/>
      <c r="G32" s="6"/>
      <c r="H32" s="6"/>
      <c r="I32" s="6"/>
      <c r="J32" s="6"/>
      <c r="K32" s="6"/>
      <c r="L32" s="11"/>
      <c r="M32" s="2"/>
    </row>
    <row r="33" spans="1:13" x14ac:dyDescent="0.2">
      <c r="A33" s="5" t="s">
        <v>8</v>
      </c>
      <c r="B33" s="7">
        <f>B32/10</f>
        <v>0.01</v>
      </c>
      <c r="C33" s="7"/>
      <c r="D33" s="7"/>
      <c r="E33" s="6"/>
      <c r="F33" s="7"/>
      <c r="G33" s="7"/>
      <c r="H33" s="7"/>
      <c r="I33" s="6"/>
      <c r="J33" s="7"/>
      <c r="K33" s="7"/>
      <c r="L33" s="7"/>
      <c r="M33" s="2"/>
    </row>
    <row r="34" spans="1:13" x14ac:dyDescent="0.2">
      <c r="A34" s="5" t="s">
        <v>10</v>
      </c>
      <c r="B34" s="7">
        <f>B33/10</f>
        <v>1E-3</v>
      </c>
      <c r="C34" s="6"/>
      <c r="D34" s="6"/>
      <c r="E34" s="7"/>
      <c r="F34" s="7"/>
      <c r="G34" s="20"/>
      <c r="H34" s="20"/>
      <c r="I34" s="20"/>
      <c r="J34" s="7"/>
      <c r="K34" s="7"/>
      <c r="M34" s="2"/>
    </row>
    <row r="35" spans="1:13" x14ac:dyDescent="0.2">
      <c r="A35" s="5" t="s">
        <v>12</v>
      </c>
      <c r="B35" s="10">
        <v>0.1</v>
      </c>
      <c r="C35" s="12"/>
      <c r="D35" s="6"/>
      <c r="E35" s="11"/>
      <c r="F35" s="6"/>
      <c r="G35" s="6"/>
      <c r="H35" s="6"/>
      <c r="I35" s="11"/>
      <c r="J35" s="11"/>
      <c r="K35" s="11"/>
      <c r="L35" s="11"/>
      <c r="M35" s="2"/>
    </row>
    <row r="36" spans="1:13" x14ac:dyDescent="0.2">
      <c r="A36" s="5" t="s">
        <v>14</v>
      </c>
      <c r="B36" s="7">
        <f>B35/10</f>
        <v>0.01</v>
      </c>
      <c r="C36" s="11"/>
      <c r="D36" s="6"/>
      <c r="E36" s="11"/>
      <c r="F36" s="2"/>
      <c r="G36" s="11"/>
      <c r="H36" s="21"/>
      <c r="I36" s="11"/>
      <c r="J36" s="11"/>
      <c r="K36" s="11"/>
      <c r="L36" s="11"/>
      <c r="M36" s="2"/>
    </row>
    <row r="37" spans="1:13" x14ac:dyDescent="0.2">
      <c r="A37" s="5" t="s">
        <v>16</v>
      </c>
      <c r="B37" s="7">
        <f>B36/10</f>
        <v>1E-3</v>
      </c>
      <c r="C37" s="12"/>
      <c r="D37" s="6"/>
      <c r="E37" s="6"/>
      <c r="F37" s="6"/>
      <c r="G37" s="6"/>
      <c r="H37" s="6"/>
      <c r="I37" s="2"/>
      <c r="J37" s="6"/>
      <c r="K37" s="6"/>
      <c r="L37" s="6"/>
      <c r="M37" s="6"/>
    </row>
    <row r="38" spans="1:13" x14ac:dyDescent="0.2">
      <c r="A38" s="5" t="s">
        <v>18</v>
      </c>
      <c r="B38" s="10"/>
      <c r="C38" s="12"/>
      <c r="D38" s="6"/>
      <c r="E38" s="2"/>
      <c r="F38" s="2"/>
      <c r="G38" s="2"/>
      <c r="H38" s="9"/>
      <c r="I38" s="2"/>
      <c r="J38" s="2"/>
      <c r="K38" s="2"/>
      <c r="L38" s="2"/>
      <c r="M38" s="2"/>
    </row>
  </sheetData>
  <mergeCells count="2">
    <mergeCell ref="V27:W27"/>
    <mergeCell ref="D10:D11"/>
  </mergeCells>
  <pageMargins left="0.7" right="0.7" top="0.75" bottom="0.75" header="0.3" footer="0.3"/>
  <pageSetup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PlateSetup</vt:lpstr>
      <vt:lpstr>T=24</vt:lpstr>
      <vt:lpstr>BacteriaCalcs</vt:lpstr>
      <vt:lpstr>Inoculum</vt:lpstr>
      <vt:lpstr>Inoc_Dilution</vt:lpstr>
      <vt:lpstr>T=2</vt:lpstr>
      <vt:lpstr>Sheet1</vt:lpstr>
      <vt:lpstr>PlatePlanning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2021-04-22T23:18:33Z</cp:lastPrinted>
  <dcterms:created xsi:type="dcterms:W3CDTF">2019-06-17T19:44:26Z</dcterms:created>
  <dcterms:modified xsi:type="dcterms:W3CDTF">2021-04-29T13:24:44Z</dcterms:modified>
</cp:coreProperties>
</file>