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0CD289BE-814F-AA40-999F-F00D8C50A0B0}" xr6:coauthVersionLast="45" xr6:coauthVersionMax="45" xr10:uidLastSave="{00000000-0000-0000-0000-000000000000}"/>
  <bookViews>
    <workbookView xWindow="0" yWindow="460" windowWidth="27880" windowHeight="15560" activeTab="6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Inoc_Dilution" sheetId="7" r:id="rId5"/>
    <sheet name="T=2" sheetId="4" r:id="rId6"/>
    <sheet name="T=24" sheetId="5" r:id="rId7"/>
    <sheet name="Sheet1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8" l="1"/>
  <c r="I21" i="8" s="1"/>
  <c r="D21" i="8"/>
  <c r="E21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11" i="8"/>
  <c r="M11" i="8" s="1"/>
  <c r="L10" i="8"/>
  <c r="M10" i="8" s="1"/>
  <c r="L9" i="8"/>
  <c r="M9" i="8" s="1"/>
  <c r="L8" i="8"/>
  <c r="M8" i="8" s="1"/>
  <c r="L7" i="8"/>
  <c r="M7" i="8" s="1"/>
  <c r="L6" i="8"/>
  <c r="M6" i="8" s="1"/>
  <c r="L5" i="8"/>
  <c r="M5" i="8" s="1"/>
  <c r="L4" i="8"/>
  <c r="M4" i="8" s="1"/>
  <c r="L3" i="8"/>
  <c r="M3" i="8" s="1"/>
  <c r="H3" i="4"/>
  <c r="Q5" i="4" l="1"/>
  <c r="T8" i="5"/>
  <c r="T6" i="5"/>
  <c r="T5" i="5"/>
  <c r="R8" i="5"/>
  <c r="R6" i="5"/>
  <c r="R5" i="5"/>
  <c r="R3" i="5"/>
  <c r="Q8" i="5"/>
  <c r="Q6" i="5"/>
  <c r="Q5" i="5"/>
  <c r="Q3" i="5"/>
  <c r="L20" i="5"/>
  <c r="L19" i="5"/>
  <c r="L18" i="5"/>
  <c r="L16" i="5"/>
  <c r="L15" i="5"/>
  <c r="L17" i="5"/>
  <c r="L14" i="5"/>
  <c r="L13" i="5"/>
  <c r="L12" i="5"/>
  <c r="L10" i="5"/>
  <c r="L11" i="5"/>
  <c r="M9" i="5"/>
  <c r="L9" i="5"/>
  <c r="L5" i="5"/>
  <c r="M4" i="5"/>
  <c r="L4" i="5"/>
  <c r="L3" i="5"/>
  <c r="N5" i="4" l="1"/>
  <c r="O8" i="4"/>
  <c r="O7" i="4"/>
  <c r="O6" i="4"/>
  <c r="O5" i="4"/>
  <c r="O4" i="4"/>
  <c r="O3" i="4"/>
  <c r="N8" i="4"/>
  <c r="N7" i="4"/>
  <c r="N6" i="4"/>
  <c r="N4" i="4"/>
  <c r="N3" i="4"/>
  <c r="K7" i="7" l="1"/>
  <c r="L7" i="7" s="1"/>
  <c r="I7" i="7"/>
  <c r="N5" i="7"/>
  <c r="O5" i="7" s="1"/>
  <c r="Q5" i="7" s="1"/>
  <c r="N6" i="7"/>
  <c r="O6" i="7" s="1"/>
  <c r="Q6" i="7" s="1"/>
  <c r="N4" i="7"/>
  <c r="O4" i="7" s="1"/>
  <c r="Q4" i="7" s="1"/>
  <c r="G7" i="7"/>
  <c r="F7" i="7"/>
  <c r="D7" i="7"/>
  <c r="I11" i="3" l="1"/>
  <c r="H10" i="3"/>
  <c r="H11" i="3"/>
  <c r="H9" i="3"/>
  <c r="H7" i="3"/>
  <c r="H4" i="3"/>
  <c r="H5" i="3"/>
  <c r="H6" i="3"/>
  <c r="H3" i="3"/>
  <c r="O21" i="2" l="1"/>
  <c r="P23" i="6"/>
  <c r="O16" i="2"/>
  <c r="G4" i="2"/>
  <c r="I4" i="2" s="1"/>
  <c r="G5" i="2"/>
  <c r="I5" i="2" s="1"/>
  <c r="G3" i="2"/>
  <c r="I3" i="2" s="1"/>
  <c r="D4" i="2"/>
  <c r="E4" i="2" s="1"/>
  <c r="D5" i="2"/>
  <c r="E5" i="2" s="1"/>
  <c r="D3" i="2"/>
  <c r="E3" i="2" s="1"/>
  <c r="P21" i="6"/>
  <c r="P8" i="6"/>
  <c r="AA7" i="6"/>
  <c r="AA8" i="6" s="1"/>
  <c r="AA6" i="6"/>
  <c r="P9" i="6"/>
  <c r="P10" i="6" s="1"/>
  <c r="P12" i="6"/>
  <c r="AA17" i="6"/>
  <c r="AA18" i="6" s="1"/>
  <c r="AA19" i="6" s="1"/>
  <c r="S6" i="6"/>
  <c r="S10" i="6"/>
  <c r="S11" i="6"/>
  <c r="B10" i="1" l="1"/>
  <c r="C11" i="1"/>
  <c r="C13" i="4" l="1"/>
  <c r="C9" i="1"/>
  <c r="P19" i="6"/>
  <c r="P24" i="6" s="1"/>
  <c r="P25" i="6" s="1"/>
  <c r="S9" i="6"/>
  <c r="P6" i="6"/>
  <c r="B8" i="1"/>
  <c r="L8" i="5" l="1"/>
  <c r="L7" i="5"/>
  <c r="L6" i="5"/>
  <c r="M6" i="5" s="1"/>
  <c r="M3" i="5"/>
  <c r="R4" i="5" l="1"/>
  <c r="Q4" i="5"/>
  <c r="U4" i="5" s="1"/>
  <c r="T4" i="5"/>
  <c r="M15" i="5"/>
  <c r="M8" i="5"/>
  <c r="M20" i="5"/>
  <c r="M16" i="5"/>
  <c r="M13" i="5"/>
  <c r="M7" i="5"/>
  <c r="M19" i="5"/>
  <c r="M18" i="5"/>
  <c r="M17" i="5"/>
  <c r="M14" i="5"/>
  <c r="M12" i="5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I9" i="3"/>
  <c r="K9" i="3" s="1"/>
  <c r="H12" i="3"/>
  <c r="H13" i="3"/>
  <c r="H14" i="3"/>
  <c r="H8" i="3"/>
  <c r="J5" i="3"/>
  <c r="L5" i="3" s="1"/>
  <c r="D20" i="3" s="1"/>
  <c r="H21" i="5"/>
  <c r="I21" i="5" s="1"/>
  <c r="D21" i="5"/>
  <c r="E21" i="5" s="1"/>
  <c r="M11" i="5"/>
  <c r="M10" i="5"/>
  <c r="M5" i="5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E16" i="3"/>
  <c r="F16" i="3" s="1"/>
  <c r="Q7" i="5" l="1"/>
  <c r="U7" i="5" s="1"/>
  <c r="R7" i="5"/>
  <c r="T7" i="5"/>
  <c r="Q8" i="4"/>
  <c r="Q7" i="4"/>
  <c r="Q6" i="4"/>
  <c r="Q4" i="4"/>
  <c r="AK4" i="5"/>
  <c r="AK7" i="5"/>
  <c r="AK6" i="5"/>
  <c r="AK8" i="5"/>
  <c r="J13" i="3"/>
  <c r="L13" i="3" s="1"/>
  <c r="D24" i="3" s="1"/>
  <c r="AK5" i="5"/>
  <c r="M9" i="3"/>
  <c r="C22" i="3"/>
  <c r="J3" i="3"/>
  <c r="L3" i="3" s="1"/>
  <c r="D19" i="3" s="1"/>
  <c r="I18" i="4"/>
  <c r="J9" i="3"/>
  <c r="L9" i="3" s="1"/>
  <c r="D22" i="3" s="1"/>
  <c r="I7" i="3"/>
  <c r="K7" i="3" s="1"/>
  <c r="M7" i="3" s="1"/>
  <c r="J7" i="3"/>
  <c r="L7" i="3" s="1"/>
  <c r="D21" i="3" s="1"/>
  <c r="J11" i="3"/>
  <c r="L11" i="3" s="1"/>
  <c r="D23" i="3" s="1"/>
  <c r="I13" i="3"/>
  <c r="K13" i="3" s="1"/>
  <c r="K11" i="3"/>
  <c r="I5" i="3"/>
  <c r="K5" i="3" s="1"/>
  <c r="M5" i="3" s="1"/>
  <c r="I3" i="3"/>
  <c r="K3" i="3" s="1"/>
  <c r="M3" i="3" s="1"/>
  <c r="AL4" i="5" l="1"/>
  <c r="R3" i="4"/>
  <c r="I15" i="4"/>
  <c r="I9" i="4"/>
  <c r="I12" i="4"/>
  <c r="U8" i="5"/>
  <c r="U3" i="5"/>
  <c r="AL5" i="5"/>
  <c r="AL7" i="5"/>
  <c r="I6" i="4"/>
  <c r="I3" i="4"/>
  <c r="AL6" i="5"/>
  <c r="R7" i="4"/>
  <c r="AK3" i="5"/>
  <c r="AL3" i="5" s="1"/>
  <c r="AL8" i="5"/>
  <c r="U6" i="5"/>
  <c r="R6" i="4"/>
  <c r="R8" i="4"/>
  <c r="M11" i="3"/>
  <c r="C23" i="3"/>
  <c r="C21" i="3"/>
  <c r="M13" i="3"/>
  <c r="C24" i="3"/>
  <c r="R5" i="4"/>
  <c r="U5" i="5"/>
  <c r="R4" i="4"/>
  <c r="C19" i="3"/>
  <c r="C20" i="3"/>
  <c r="B36" i="1" l="1"/>
  <c r="B37" i="1" s="1"/>
  <c r="B33" i="1"/>
  <c r="B34" i="1" s="1"/>
  <c r="W31" i="1"/>
  <c r="W30" i="1"/>
  <c r="W29" i="1"/>
  <c r="C10" i="1"/>
  <c r="B11" i="1"/>
  <c r="B12" i="1" s="1"/>
</calcChain>
</file>

<file path=xl/sharedStrings.xml><?xml version="1.0" encoding="utf-8"?>
<sst xmlns="http://schemas.openxmlformats.org/spreadsheetml/2006/main" count="500" uniqueCount="147">
  <si>
    <t xml:space="preserve"> </t>
  </si>
  <si>
    <t>Macrophage Calculations</t>
  </si>
  <si>
    <t>A</t>
  </si>
  <si>
    <t>LVS</t>
  </si>
  <si>
    <t>dptA(-)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</si>
  <si>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</si>
  <si>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</si>
  <si>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</si>
  <si>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</si>
  <si>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</si>
  <si>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</si>
  <si>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</si>
  <si>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</si>
  <si>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</si>
  <si>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</si>
  <si>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</si>
  <si>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</si>
  <si>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</si>
  <si>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</si>
  <si>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</si>
  <si>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</si>
  <si>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</si>
  <si>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</si>
  <si>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</si>
  <si>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</si>
  <si>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</si>
  <si>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</si>
  <si>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2x each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</si>
  <si>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</si>
  <si>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</si>
  <si>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</si>
  <si>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</si>
  <si>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</si>
  <si>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</si>
  <si>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</si>
  <si>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</si>
  <si>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</si>
  <si>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</si>
  <si>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</si>
  <si>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</si>
  <si>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</si>
  <si>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</si>
  <si>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</si>
  <si>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</si>
  <si>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</si>
  <si>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</si>
  <si>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</si>
  <si>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</si>
  <si>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</si>
  <si>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</si>
  <si>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</si>
  <si>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</si>
  <si>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</si>
  <si>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</si>
  <si>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</si>
  <si>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</si>
  <si>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Cysteine Supplementation Calculations</t>
  </si>
  <si>
    <t>Total volume needed</t>
  </si>
  <si>
    <t>Stock cysteine (mM)</t>
  </si>
  <si>
    <t>Volume stock cysteine (mL)</t>
  </si>
  <si>
    <t>Final conc cysteine in well (mM)</t>
  </si>
  <si>
    <t>Conc cysteine to add (mM)</t>
  </si>
  <si>
    <t>Volume media</t>
  </si>
  <si>
    <t>Total final volume in well</t>
  </si>
  <si>
    <t xml:space="preserve">  </t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</si>
  <si>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</si>
  <si>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</si>
  <si>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</si>
  <si>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</si>
  <si>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</si>
  <si>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</si>
  <si>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</si>
  <si>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</si>
  <si>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</si>
  <si>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</si>
  <si>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</si>
  <si>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</si>
  <si>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</si>
  <si>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</si>
  <si>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</si>
  <si>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</si>
  <si>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</si>
  <si>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</si>
  <si>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</si>
  <si>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</si>
  <si>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</si>
  <si>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</si>
  <si>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</si>
  <si>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</si>
  <si>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</si>
  <si>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</si>
  <si>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</si>
  <si>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</si>
  <si>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</si>
  <si>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</si>
  <si>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50 ul cells plated</t>
  </si>
  <si>
    <t>Track Plate 1</t>
  </si>
  <si>
    <t>Track Plate 2</t>
  </si>
  <si>
    <t>T-test (vs LVS)</t>
  </si>
  <si>
    <t>*Plated 50 ul on circular plate</t>
  </si>
  <si>
    <t>7A</t>
  </si>
  <si>
    <t>7B</t>
  </si>
  <si>
    <t>8A</t>
  </si>
  <si>
    <t>8B</t>
  </si>
  <si>
    <t>9A</t>
  </si>
  <si>
    <t>9B</t>
  </si>
  <si>
    <t xml:space="preserve">Cysteine? </t>
  </si>
  <si>
    <t>+</t>
  </si>
  <si>
    <t>Cysteine?</t>
  </si>
  <si>
    <t>7C</t>
  </si>
  <si>
    <t>8C</t>
  </si>
  <si>
    <t>9C</t>
  </si>
  <si>
    <t>dptA(-)*</t>
  </si>
  <si>
    <t>T=24</t>
  </si>
  <si>
    <t>T=2</t>
  </si>
  <si>
    <t>Bacterial Growth</t>
  </si>
  <si>
    <t>∆chaC</t>
  </si>
  <si>
    <t>1. Prep cysteine or mock addition</t>
  </si>
  <si>
    <t>2. Plate concentrated macs</t>
  </si>
  <si>
    <t>3. Add extra cysteine or mock</t>
  </si>
  <si>
    <t>Do 2x - once in media with mock, once in +cysteine media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</si>
  <si>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</si>
  <si>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</si>
  <si>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rPr>
        <b/>
        <i/>
        <sz val="12"/>
        <color theme="1"/>
        <rFont val="Calibri"/>
        <family val="2"/>
        <scheme val="minor"/>
      </rPr>
      <t>dptA</t>
    </r>
    <r>
      <rPr>
        <b/>
        <sz val="12"/>
        <color theme="1"/>
        <rFont val="Calibri"/>
        <family val="2"/>
        <scheme val="minor"/>
      </rPr>
      <t>(-)</t>
    </r>
  </si>
  <si>
    <t>3 strains, 2 conditions in duplicate</t>
  </si>
  <si>
    <t>3 strains x 2 conditions x 3 wells x 2 plates</t>
  </si>
  <si>
    <t>Square: 2.5 strains x 2 conditions x 3 wells x 2 plates; round: 1 strain x 1 condion x 3 wells x 2 plates</t>
  </si>
  <si>
    <t>2nd measurement</t>
  </si>
  <si>
    <t>1st measurement</t>
  </si>
  <si>
    <t>For final vol 1.6 mL at 0.04</t>
  </si>
  <si>
    <t>Volume PBS or cysteine</t>
  </si>
  <si>
    <t>Final conc cysteine (mM)</t>
  </si>
  <si>
    <t>Desired concentration (ug/mL)</t>
  </si>
  <si>
    <t>Stock hygromycin (ug/mL)</t>
  </si>
  <si>
    <t>Volume hygromycin (ul)</t>
  </si>
  <si>
    <t>Average</t>
  </si>
  <si>
    <t>Undiluted</t>
  </si>
  <si>
    <t>Density</t>
  </si>
  <si>
    <t>Volume media removed from 5mL</t>
  </si>
  <si>
    <t>#</t>
  </si>
  <si>
    <t>Total volume needed (uL)</t>
  </si>
  <si>
    <t>Volume stock cysteine (uL)</t>
  </si>
  <si>
    <t>Hygromycin media (uL)</t>
  </si>
  <si>
    <t>Cysteine</t>
  </si>
  <si>
    <t>Hygromycin</t>
  </si>
  <si>
    <t>CFU per mL</t>
  </si>
  <si>
    <t>CFU per mL per OD600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</si>
</sst>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1" fontId="0" fillId="0" borderId="0" xfId="0" applyNumberFormat="1" applyBorder="1" applyAlignment="1">
      <alignment horizontal="right"/>
    </xf>
    <xf numFmtId="1" fontId="0" fillId="0" borderId="0" xfId="0" applyNumberFormat="1" applyBorder="1"/>
    <xf numFmtId="11" fontId="0" fillId="0" borderId="0" xfId="0" applyNumberFormat="1" applyBorder="1"/>
    <xf numFmtId="164" fontId="0" fillId="0" borderId="0" xfId="0" applyNumberFormat="1" applyBorder="1"/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/>
    <xf numFmtId="0" fontId="0" fillId="2" borderId="0" xfId="0" applyFill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/>
    <xf numFmtId="11" fontId="0" fillId="0" borderId="1" xfId="0" applyNumberFormat="1" applyFont="1" applyBorder="1"/>
    <xf numFmtId="0" fontId="0" fillId="0" borderId="0" xfId="0" applyFont="1"/>
    <xf numFmtId="11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8" fillId="0" borderId="1" xfId="0" applyNumberFormat="1" applyFont="1" applyBorder="1"/>
    <xf numFmtId="11" fontId="8" fillId="0" borderId="1" xfId="0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11" fontId="8" fillId="0" borderId="0" xfId="0" applyNumberFormat="1" applyFont="1"/>
    <xf numFmtId="0" fontId="8" fillId="0" borderId="1" xfId="0" applyFont="1" applyBorder="1" applyAlignment="1">
      <alignment horizontal="left"/>
    </xf>
    <xf numFmtId="166" fontId="0" fillId="0" borderId="1" xfId="0" applyNumberFormat="1" applyBorder="1"/>
    <xf numFmtId="11" fontId="1" fillId="0" borderId="1" xfId="0" applyNumberFormat="1" applyFont="1" applyBorder="1"/>
    <xf numFmtId="1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Inoculum!$C$18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Inoculum!$D$19:$D$21</c:f>
                <c:numCache>
                  <c:formatCode>General</c:formatCode>
                  <c:ptCount val="3"/>
                  <c:pt idx="0">
                    <c:v>2474.8737341529163</c:v>
                  </c:pt>
                  <c:pt idx="1">
                    <c:v>3535.533905932738</c:v>
                  </c:pt>
                  <c:pt idx="2">
                    <c:v>7424.6212024587412</c:v>
                  </c:pt>
                </c:numCache>
              </c:numRef>
            </c:plus>
            <c:minus>
              <c:numRef>
                <c:f>Inoculum!$D$19:$D$21</c:f>
                <c:numCache>
                  <c:formatCode>General</c:formatCode>
                  <c:ptCount val="3"/>
                  <c:pt idx="0">
                    <c:v>2474.8737341529163</c:v>
                  </c:pt>
                  <c:pt idx="1">
                    <c:v>3535.533905932738</c:v>
                  </c:pt>
                  <c:pt idx="2">
                    <c:v>7424.6212024587412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Inoculum!$C$19:$C$24</c:f>
              <c:numCache>
                <c:formatCode>0.00E+00</c:formatCode>
                <c:ptCount val="6"/>
                <c:pt idx="0">
                  <c:v>57250</c:v>
                </c:pt>
                <c:pt idx="1">
                  <c:v>63500</c:v>
                </c:pt>
                <c:pt idx="2">
                  <c:v>84750</c:v>
                </c:pt>
                <c:pt idx="3">
                  <c:v>66000</c:v>
                </c:pt>
                <c:pt idx="4">
                  <c:v>66500</c:v>
                </c:pt>
                <c:pt idx="5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'T=2'!$N$3:$N$8</c:f>
              <c:numCache>
                <c:formatCode>0.00E+00</c:formatCode>
                <c:ptCount val="6"/>
                <c:pt idx="0">
                  <c:v>53.333333333333336</c:v>
                </c:pt>
                <c:pt idx="1">
                  <c:v>24</c:v>
                </c:pt>
                <c:pt idx="2">
                  <c:v>53.333333333333336</c:v>
                </c:pt>
                <c:pt idx="3">
                  <c:v>35.333333333333336</c:v>
                </c:pt>
                <c:pt idx="4">
                  <c:v>36</c:v>
                </c:pt>
                <c:pt idx="5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'T=24'!$Q$2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  <c:pt idx="3">
                    <c:v>13012.814197295411</c:v>
                  </c:pt>
                  <c:pt idx="4">
                    <c:v>0</c:v>
                  </c:pt>
                  <c:pt idx="5">
                    <c:v>22501.851775650244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31566.666666666668</c:v>
                </c:pt>
                <c:pt idx="1">
                  <c:v>0</c:v>
                </c:pt>
                <c:pt idx="2">
                  <c:v>23.333333333333332</c:v>
                </c:pt>
                <c:pt idx="3">
                  <c:v>61333.333333333336</c:v>
                </c:pt>
                <c:pt idx="4">
                  <c:v>0</c:v>
                </c:pt>
                <c:pt idx="5">
                  <c:v>95666.666666666672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'T=24'!$Z$3:$Z$8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'T=24'!$Y$3:$Y$8</c:f>
              <c:numCache>
                <c:formatCode>0.00E+00</c:formatCode>
                <c:ptCount val="6"/>
                <c:pt idx="0">
                  <c:v>53.333333333333336</c:v>
                </c:pt>
                <c:pt idx="1">
                  <c:v>24</c:v>
                </c:pt>
                <c:pt idx="2">
                  <c:v>53.333333333333336</c:v>
                </c:pt>
                <c:pt idx="3">
                  <c:v>35.333333333333336</c:v>
                </c:pt>
                <c:pt idx="4">
                  <c:v>36</c:v>
                </c:pt>
                <c:pt idx="5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C-814B-A364-060C7A020D44}"/>
            </c:ext>
          </c:extLst>
        </c:ser>
        <c:ser>
          <c:idx val="0"/>
          <c:order val="1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  <c:pt idx="3">
                    <c:v>13012.814197295411</c:v>
                  </c:pt>
                  <c:pt idx="4">
                    <c:v>0</c:v>
                  </c:pt>
                  <c:pt idx="5">
                    <c:v>22501.851775650244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31566.666666666668</c:v>
                </c:pt>
                <c:pt idx="1">
                  <c:v>0</c:v>
                </c:pt>
                <c:pt idx="2">
                  <c:v>23.333333333333332</c:v>
                </c:pt>
                <c:pt idx="3">
                  <c:v>61333.333333333336</c:v>
                </c:pt>
                <c:pt idx="4">
                  <c:v>0</c:v>
                </c:pt>
                <c:pt idx="5">
                  <c:v>95666.666666666672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- cysteine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'T=24'!$AK$3:$AK$5</c:f>
              <c:numCache>
                <c:formatCode>0.00E+00</c:formatCode>
                <c:ptCount val="3"/>
                <c:pt idx="0">
                  <c:v>591.875</c:v>
                </c:pt>
                <c:pt idx="1">
                  <c:v>0</c:v>
                </c:pt>
                <c:pt idx="2">
                  <c:v>0.43749999999999994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v>+ cysteine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'[1]T=24'!$AL$9:$AL$14</c:f>
                <c:numCache>
                  <c:formatCode>General</c:formatCode>
                  <c:ptCount val="6"/>
                  <c:pt idx="0">
                    <c:v>811.82337302248322</c:v>
                  </c:pt>
                  <c:pt idx="1">
                    <c:v>410.88918943152476</c:v>
                  </c:pt>
                  <c:pt idx="2">
                    <c:v>323.79389257911737</c:v>
                  </c:pt>
                  <c:pt idx="3">
                    <c:v>242.89220378929991</c:v>
                  </c:pt>
                  <c:pt idx="4">
                    <c:v>109.40161064948596</c:v>
                  </c:pt>
                  <c:pt idx="5">
                    <c:v>115.28185461756627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'T=24'!$AK$6:$AK$8</c:f>
              <c:numCache>
                <c:formatCode>0.00E+00</c:formatCode>
                <c:ptCount val="3"/>
                <c:pt idx="0">
                  <c:v>1735.8490566037735</c:v>
                </c:pt>
                <c:pt idx="1">
                  <c:v>0</c:v>
                </c:pt>
                <c:pt idx="2">
                  <c:v>3587.5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133350</xdr:rowOff>
    </xdr:from>
    <xdr:to>
      <xdr:col>15</xdr:col>
      <xdr:colOff>25400</xdr:colOff>
      <xdr:row>40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44</xdr:row>
      <xdr:rowOff>114300</xdr:rowOff>
    </xdr:from>
    <xdr:to>
      <xdr:col>33</xdr:col>
      <xdr:colOff>342900</xdr:colOff>
      <xdr:row>69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76201</xdr:colOff>
      <xdr:row>16</xdr:row>
      <xdr:rowOff>0</xdr:rowOff>
    </xdr:from>
    <xdr:to>
      <xdr:col>29</xdr:col>
      <xdr:colOff>793751</xdr:colOff>
      <xdr:row>41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161925</xdr:colOff>
      <xdr:row>38</xdr:row>
      <xdr:rowOff>38100</xdr:rowOff>
    </xdr:from>
    <xdr:to>
      <xdr:col>23</xdr:col>
      <xdr:colOff>730250</xdr:colOff>
      <xdr:row>38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F715772-7FAC-5349-996D-7835ECCFBD1E}"/>
            </a:ext>
          </a:extLst>
        </xdr:cNvPr>
        <xdr:cNvCxnSpPr/>
      </xdr:nvCxnSpPr>
      <xdr:spPr>
        <a:xfrm>
          <a:off x="11179175" y="8150225"/>
          <a:ext cx="39655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447675</xdr:colOff>
      <xdr:row>38</xdr:row>
      <xdr:rowOff>123825</xdr:rowOff>
    </xdr:from>
    <xdr:ext cx="1098442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329BC3-6C7C-5D44-BFFF-565A64C260D4}"/>
            </a:ext>
          </a:extLst>
        </xdr:cNvPr>
        <xdr:cNvSpPr txBox="1"/>
      </xdr:nvSpPr>
      <xdr:spPr>
        <a:xfrm>
          <a:off x="12592050" y="8235950"/>
          <a:ext cx="109844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- cysteine</a:t>
          </a:r>
        </a:p>
      </xdr:txBody>
    </xdr:sp>
    <xdr:clientData/>
  </xdr:oneCellAnchor>
  <xdr:twoCellAnchor>
    <xdr:from>
      <xdr:col>24</xdr:col>
      <xdr:colOff>260350</xdr:colOff>
      <xdr:row>38</xdr:row>
      <xdr:rowOff>38100</xdr:rowOff>
    </xdr:from>
    <xdr:to>
      <xdr:col>29</xdr:col>
      <xdr:colOff>381000</xdr:colOff>
      <xdr:row>38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20F2832-B493-2C47-9DF0-EF86373151DB}"/>
            </a:ext>
          </a:extLst>
        </xdr:cNvPr>
        <xdr:cNvCxnSpPr/>
      </xdr:nvCxnSpPr>
      <xdr:spPr>
        <a:xfrm>
          <a:off x="15484475" y="8150225"/>
          <a:ext cx="41687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250825</xdr:colOff>
      <xdr:row>38</xdr:row>
      <xdr:rowOff>142875</xdr:rowOff>
    </xdr:from>
    <xdr:ext cx="1142749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D628584-2F9C-EF4F-84F9-2A7823CF78D7}"/>
            </a:ext>
          </a:extLst>
        </xdr:cNvPr>
        <xdr:cNvSpPr txBox="1"/>
      </xdr:nvSpPr>
      <xdr:spPr>
        <a:xfrm>
          <a:off x="17094200" y="8255000"/>
          <a:ext cx="11427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+ cysteine</a:t>
          </a:r>
        </a:p>
      </xdr:txBody>
    </xdr:sp>
    <xdr:clientData/>
  </xdr:oneCellAnchor>
  <xdr:twoCellAnchor>
    <xdr:from>
      <xdr:col>38</xdr:col>
      <xdr:colOff>792180</xdr:colOff>
      <xdr:row>7</xdr:row>
      <xdr:rowOff>25148</xdr:rowOff>
    </xdr:from>
    <xdr:to>
      <xdr:col>50</xdr:col>
      <xdr:colOff>247903</xdr:colOff>
      <xdr:row>27</xdr:row>
      <xdr:rowOff>196472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0.31153</cdr:x>
      <cdr:y>0.95713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24300" y="4457700"/>
          <a:ext cx="109844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- cysteine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0.73886</cdr:x>
      <cdr:y>0.95713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769600" y="4457700"/>
          <a:ext cx="1142749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+ cysteine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0626_mac_dptAgg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Setup"/>
      <sheetName val="BacteriaCalcs"/>
      <sheetName val="Inoculum"/>
      <sheetName val="T=2"/>
      <sheetName val="T=2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I3" t="str">
            <v>LVS</v>
          </cell>
        </row>
        <row r="9">
          <cell r="AL9">
            <v>811.82337302248322</v>
          </cell>
        </row>
        <row r="10">
          <cell r="AL10">
            <v>410.88918943152476</v>
          </cell>
        </row>
        <row r="11">
          <cell r="AL11">
            <v>323.79389257911737</v>
          </cell>
        </row>
        <row r="12">
          <cell r="AL12">
            <v>242.89220378929991</v>
          </cell>
        </row>
        <row r="13">
          <cell r="AL13">
            <v>109.40161064948596</v>
          </cell>
        </row>
        <row r="14">
          <cell r="AL14">
            <v>115.28185461756627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AA25"/>
  <sheetViews>
    <sheetView topLeftCell="M2" zoomScale="134" zoomScaleNormal="120" workbookViewId="0">
      <selection activeCell="P19" sqref="P19"/>
    </sheetView>
  </sheetViews>
  <sheetFormatPr baseColWidth="10" defaultColWidth="10.6640625" defaultRowHeight="16" x14ac:dyDescent="0.2"/>
  <cols>
    <col min="1" max="1" width="2.5" bestFit="1" customWidth="1"/>
    <col min="2" max="4" width="4.1640625" bestFit="1" customWidth="1"/>
    <col min="5" max="5" width="2.1640625" bestFit="1" customWidth="1"/>
    <col min="6" max="8" width="6.1640625" bestFit="1" customWidth="1"/>
    <col min="9" max="9" width="2.1640625" bestFit="1" customWidth="1"/>
    <col min="10" max="12" width="7" bestFit="1" customWidth="1"/>
    <col min="13" max="13" width="3.1640625" bestFit="1" customWidth="1"/>
    <col min="15" max="15" width="26.6640625" bestFit="1" customWidth="1"/>
    <col min="16" max="16" width="8.6640625" bestFit="1" customWidth="1"/>
    <col min="18" max="18" width="27.83203125" customWidth="1"/>
    <col min="19" max="19" width="12.83203125" customWidth="1"/>
    <col min="23" max="23" width="2.1640625" bestFit="1" customWidth="1"/>
    <col min="24" max="26" width="3.1640625" bestFit="1" customWidth="1"/>
    <col min="27" max="27" width="8.6640625" bestFit="1" customWidth="1"/>
  </cols>
  <sheetData>
    <row r="3" spans="1:2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O3" s="89" t="s">
        <v>1</v>
      </c>
      <c r="P3" s="89"/>
      <c r="R3" s="89" t="s">
        <v>56</v>
      </c>
      <c r="S3" s="89"/>
      <c r="W3" s="88" t="s">
        <v>128</v>
      </c>
      <c r="X3" s="88"/>
      <c r="Y3" s="88"/>
      <c r="Z3" s="88"/>
      <c r="AA3" s="88"/>
    </row>
    <row r="4" spans="1:27" ht="17" x14ac:dyDescent="0.2">
      <c r="A4" s="5" t="s">
        <v>2</v>
      </c>
      <c r="B4" s="6" t="s">
        <v>3</v>
      </c>
      <c r="C4" s="6" t="s">
        <v>3</v>
      </c>
      <c r="D4" s="6" t="s">
        <v>3</v>
      </c>
      <c r="E4" s="6"/>
      <c r="F4" s="6" t="s">
        <v>116</v>
      </c>
      <c r="G4" s="6" t="s">
        <v>116</v>
      </c>
      <c r="H4" s="6" t="s">
        <v>116</v>
      </c>
      <c r="I4" s="6"/>
      <c r="J4" s="6" t="s">
        <v>4</v>
      </c>
      <c r="K4" s="6" t="s">
        <v>4</v>
      </c>
      <c r="L4" s="6" t="s">
        <v>4</v>
      </c>
      <c r="M4" s="7"/>
      <c r="O4" s="2" t="s">
        <v>5</v>
      </c>
      <c r="P4" s="9">
        <v>25000</v>
      </c>
      <c r="R4" s="2" t="s">
        <v>63</v>
      </c>
      <c r="S4" s="2">
        <v>0.2</v>
      </c>
      <c r="W4" s="2">
        <v>6</v>
      </c>
      <c r="X4" s="2">
        <v>19</v>
      </c>
      <c r="Y4" s="2">
        <v>14</v>
      </c>
      <c r="Z4" s="2">
        <v>11</v>
      </c>
      <c r="AA4" s="88"/>
    </row>
    <row r="5" spans="1:27" x14ac:dyDescent="0.2">
      <c r="A5" s="5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O5" s="2" t="s">
        <v>7</v>
      </c>
      <c r="P5" s="2">
        <v>0.15</v>
      </c>
      <c r="R5" s="2" t="s">
        <v>7</v>
      </c>
      <c r="S5" s="2">
        <v>0.05</v>
      </c>
      <c r="W5" s="2">
        <v>9</v>
      </c>
      <c r="X5" s="2">
        <v>10</v>
      </c>
      <c r="Y5" s="2">
        <v>10</v>
      </c>
      <c r="Z5" s="2">
        <v>6</v>
      </c>
      <c r="AA5" s="88"/>
    </row>
    <row r="6" spans="1:27" x14ac:dyDescent="0.2">
      <c r="A6" s="5" t="s">
        <v>8</v>
      </c>
      <c r="B6" s="6"/>
      <c r="C6" s="6"/>
      <c r="D6" s="6"/>
      <c r="E6" s="7"/>
      <c r="F6" s="6"/>
      <c r="G6" s="6"/>
      <c r="H6" s="6"/>
      <c r="I6" s="8"/>
      <c r="J6" s="6"/>
      <c r="K6" s="6"/>
      <c r="L6" s="6"/>
      <c r="M6" s="2"/>
      <c r="O6" s="2" t="s">
        <v>9</v>
      </c>
      <c r="P6" s="9">
        <f>P4/P5</f>
        <v>166666.66666666669</v>
      </c>
      <c r="R6" s="2" t="s">
        <v>57</v>
      </c>
      <c r="S6" s="22">
        <f>4</f>
        <v>4</v>
      </c>
      <c r="W6" s="88" t="s">
        <v>135</v>
      </c>
      <c r="X6" s="88"/>
      <c r="Y6" s="88"/>
      <c r="Z6" s="88"/>
      <c r="AA6" s="2">
        <f>AVERAGE(W4:Z5)</f>
        <v>10.625</v>
      </c>
    </row>
    <row r="7" spans="1:27" ht="17" x14ac:dyDescent="0.2">
      <c r="A7" s="5" t="s">
        <v>10</v>
      </c>
      <c r="B7" s="6" t="s">
        <v>3</v>
      </c>
      <c r="C7" s="6" t="s">
        <v>3</v>
      </c>
      <c r="D7" s="6" t="s">
        <v>3</v>
      </c>
      <c r="E7" s="6"/>
      <c r="F7" s="6" t="s">
        <v>116</v>
      </c>
      <c r="G7" s="6" t="s">
        <v>116</v>
      </c>
      <c r="H7" s="6" t="s">
        <v>116</v>
      </c>
      <c r="I7" s="6"/>
      <c r="J7" s="6" t="s">
        <v>4</v>
      </c>
      <c r="K7" s="6" t="s">
        <v>4</v>
      </c>
      <c r="L7" s="6" t="s">
        <v>4</v>
      </c>
      <c r="M7" s="2"/>
      <c r="O7" s="2" t="s">
        <v>11</v>
      </c>
      <c r="P7" s="2">
        <v>8.9</v>
      </c>
      <c r="R7" s="2" t="s">
        <v>60</v>
      </c>
      <c r="S7" s="2">
        <v>5</v>
      </c>
      <c r="W7" s="88" t="s">
        <v>136</v>
      </c>
      <c r="X7" s="88"/>
      <c r="Y7" s="88"/>
      <c r="Z7" s="88"/>
      <c r="AA7" s="2">
        <f>AA6*2</f>
        <v>21.25</v>
      </c>
    </row>
    <row r="8" spans="1:27" x14ac:dyDescent="0.2">
      <c r="A8" s="5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O8" s="2" t="s">
        <v>13</v>
      </c>
      <c r="P8" s="61">
        <f>AA8</f>
        <v>212500</v>
      </c>
      <c r="R8" s="2" t="s">
        <v>58</v>
      </c>
      <c r="S8" s="2">
        <v>500</v>
      </c>
      <c r="W8" s="88" t="s">
        <v>137</v>
      </c>
      <c r="X8" s="88"/>
      <c r="Y8" s="88"/>
      <c r="Z8" s="88"/>
      <c r="AA8" s="9">
        <f>AA7*10000</f>
        <v>212500</v>
      </c>
    </row>
    <row r="9" spans="1:27" x14ac:dyDescent="0.2">
      <c r="A9" s="5" t="s">
        <v>14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O9" s="2" t="s">
        <v>15</v>
      </c>
      <c r="P9" s="13">
        <f>(P7*P6)/P8</f>
        <v>6.9803921568627461</v>
      </c>
      <c r="R9" s="2" t="s">
        <v>61</v>
      </c>
      <c r="S9" s="2">
        <f>S7*0.2/S5</f>
        <v>20</v>
      </c>
    </row>
    <row r="10" spans="1:27" x14ac:dyDescent="0.2">
      <c r="A10" s="5" t="s">
        <v>16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O10" s="2" t="s">
        <v>17</v>
      </c>
      <c r="P10" s="13">
        <f>P7-P9</f>
        <v>1.9196078431372543</v>
      </c>
      <c r="R10" s="2" t="s">
        <v>59</v>
      </c>
      <c r="S10" s="2">
        <f>S9*S6/S8</f>
        <v>0.16</v>
      </c>
    </row>
    <row r="11" spans="1:27" x14ac:dyDescent="0.2">
      <c r="A11" s="5" t="s">
        <v>18</v>
      </c>
      <c r="B11" s="10"/>
      <c r="C11" s="12"/>
      <c r="D11" s="6"/>
      <c r="E11" s="6"/>
      <c r="F11" s="6"/>
      <c r="G11" s="6"/>
      <c r="H11" s="6"/>
      <c r="I11" s="11"/>
      <c r="J11" s="11"/>
      <c r="K11" s="11"/>
      <c r="L11" s="11"/>
      <c r="M11" s="2"/>
      <c r="O11" s="2" t="s">
        <v>19</v>
      </c>
      <c r="P11" s="61">
        <v>156000</v>
      </c>
      <c r="R11" s="2" t="s">
        <v>62</v>
      </c>
      <c r="S11" s="23">
        <f>S6-S10</f>
        <v>3.84</v>
      </c>
      <c r="Y11" t="s">
        <v>64</v>
      </c>
    </row>
    <row r="12" spans="1:27" x14ac:dyDescent="0.2">
      <c r="H12" s="1"/>
      <c r="O12" s="2" t="s">
        <v>20</v>
      </c>
      <c r="P12" s="9">
        <f>P11*0.15</f>
        <v>23400</v>
      </c>
      <c r="W12" s="88" t="s">
        <v>127</v>
      </c>
      <c r="X12" s="88"/>
      <c r="Y12" s="88"/>
      <c r="Z12" s="88"/>
      <c r="AA12" s="88"/>
    </row>
    <row r="13" spans="1:27" x14ac:dyDescent="0.2">
      <c r="W13" s="2">
        <v>5</v>
      </c>
      <c r="X13" s="2">
        <v>7</v>
      </c>
      <c r="Y13" s="2">
        <v>9</v>
      </c>
      <c r="Z13" s="2">
        <v>4</v>
      </c>
      <c r="AA13" s="88"/>
    </row>
    <row r="14" spans="1:27" x14ac:dyDescent="0.2">
      <c r="R14" t="s">
        <v>117</v>
      </c>
      <c r="W14" s="2">
        <v>5</v>
      </c>
      <c r="X14" s="2">
        <v>16</v>
      </c>
      <c r="Y14" s="2">
        <v>7</v>
      </c>
      <c r="Z14" s="2">
        <v>3</v>
      </c>
      <c r="AA14" s="88"/>
    </row>
    <row r="15" spans="1:27" x14ac:dyDescent="0.2">
      <c r="R15" t="s">
        <v>118</v>
      </c>
      <c r="W15" s="2">
        <v>6</v>
      </c>
      <c r="X15" s="2">
        <v>17</v>
      </c>
      <c r="Y15" s="2">
        <v>6</v>
      </c>
      <c r="Z15" s="2">
        <v>4</v>
      </c>
      <c r="AA15" s="88"/>
    </row>
    <row r="16" spans="1:27" x14ac:dyDescent="0.2">
      <c r="R16" t="s">
        <v>119</v>
      </c>
      <c r="W16" s="2">
        <v>8</v>
      </c>
      <c r="X16" s="2">
        <v>9</v>
      </c>
      <c r="Y16" s="2">
        <v>11</v>
      </c>
      <c r="Z16" s="2">
        <v>8</v>
      </c>
      <c r="AA16" s="88"/>
    </row>
    <row r="17" spans="15:27" x14ac:dyDescent="0.2">
      <c r="O17" s="4" t="s">
        <v>29</v>
      </c>
      <c r="P17" s="4" t="s">
        <v>30</v>
      </c>
      <c r="W17" s="88" t="s">
        <v>135</v>
      </c>
      <c r="X17" s="88"/>
      <c r="Y17" s="88"/>
      <c r="Z17" s="88"/>
      <c r="AA17" s="2">
        <f>AVERAGE(W13:Z16)</f>
        <v>7.8125</v>
      </c>
    </row>
    <row r="18" spans="15:27" x14ac:dyDescent="0.2">
      <c r="O18" s="2" t="s">
        <v>32</v>
      </c>
      <c r="P18" s="14">
        <v>5</v>
      </c>
      <c r="W18" s="88" t="s">
        <v>136</v>
      </c>
      <c r="X18" s="88"/>
      <c r="Y18" s="88"/>
      <c r="Z18" s="88"/>
      <c r="AA18" s="2">
        <f>AA17*2</f>
        <v>15.625</v>
      </c>
    </row>
    <row r="19" spans="15:27" x14ac:dyDescent="0.2">
      <c r="O19" s="2" t="s">
        <v>34</v>
      </c>
      <c r="P19" s="15">
        <f>P12</f>
        <v>23400</v>
      </c>
      <c r="R19" t="s">
        <v>64</v>
      </c>
      <c r="W19" s="88" t="s">
        <v>137</v>
      </c>
      <c r="X19" s="88"/>
      <c r="Y19" s="88"/>
      <c r="Z19" s="88"/>
      <c r="AA19" s="9">
        <f>AA18*10000</f>
        <v>156250</v>
      </c>
    </row>
    <row r="20" spans="15:27" x14ac:dyDescent="0.2">
      <c r="O20" s="2" t="s">
        <v>36</v>
      </c>
      <c r="P20" s="14">
        <v>0.05</v>
      </c>
    </row>
    <row r="21" spans="15:27" ht="34" x14ac:dyDescent="0.2">
      <c r="O21" s="16" t="s">
        <v>39</v>
      </c>
      <c r="P21" s="15">
        <f>(P19*P18/P20)</f>
        <v>2340000</v>
      </c>
    </row>
    <row r="22" spans="15:27" x14ac:dyDescent="0.2">
      <c r="O22" s="2" t="s">
        <v>41</v>
      </c>
      <c r="P22" s="15">
        <v>5810000000</v>
      </c>
    </row>
    <row r="23" spans="15:27" x14ac:dyDescent="0.2">
      <c r="O23" s="2" t="s">
        <v>42</v>
      </c>
      <c r="P23" s="17">
        <f>P21/P22</f>
        <v>4.0275387263339073E-4</v>
      </c>
    </row>
    <row r="24" spans="15:27" x14ac:dyDescent="0.2">
      <c r="O24" s="2" t="s">
        <v>43</v>
      </c>
      <c r="P24" s="18">
        <f>P23*100</f>
        <v>4.0275387263339076E-2</v>
      </c>
    </row>
    <row r="25" spans="15:27" x14ac:dyDescent="0.2">
      <c r="O25" s="2" t="s">
        <v>44</v>
      </c>
      <c r="P25" s="19">
        <f>P24/100</f>
        <v>4.0275387263339073E-4</v>
      </c>
    </row>
  </sheetData>
  <mergeCells count="12">
    <mergeCell ref="R3:S3"/>
    <mergeCell ref="O3:P3"/>
    <mergeCell ref="W3:AA3"/>
    <mergeCell ref="W12:AA12"/>
    <mergeCell ref="W6:Z6"/>
    <mergeCell ref="W7:Z7"/>
    <mergeCell ref="W8:Z8"/>
    <mergeCell ref="W17:Z17"/>
    <mergeCell ref="W18:Z18"/>
    <mergeCell ref="W19:Z19"/>
    <mergeCell ref="AA4:AA5"/>
    <mergeCell ref="AA13:AA16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34" zoomScaleNormal="120" workbookViewId="0">
      <selection activeCell="C9" sqref="C9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64"/>
      <c r="B4" s="65" t="s">
        <v>21</v>
      </c>
      <c r="C4" s="64"/>
      <c r="D4" s="64"/>
    </row>
    <row r="5" spans="1:8" x14ac:dyDescent="0.2">
      <c r="A5" s="66" t="s">
        <v>22</v>
      </c>
      <c r="B5" s="66" t="s">
        <v>23</v>
      </c>
      <c r="C5" s="66" t="s">
        <v>24</v>
      </c>
      <c r="D5" s="66" t="s">
        <v>25</v>
      </c>
    </row>
    <row r="6" spans="1:8" x14ac:dyDescent="0.2">
      <c r="A6" s="67" t="s">
        <v>26</v>
      </c>
      <c r="B6" s="67">
        <v>6</v>
      </c>
      <c r="C6" s="67"/>
      <c r="D6" s="67" t="s">
        <v>27</v>
      </c>
    </row>
    <row r="7" spans="1:8" x14ac:dyDescent="0.2">
      <c r="A7" s="67" t="s">
        <v>28</v>
      </c>
      <c r="B7" s="67">
        <v>0</v>
      </c>
      <c r="C7" s="67">
        <v>12</v>
      </c>
      <c r="D7" s="67" t="s">
        <v>124</v>
      </c>
    </row>
    <row r="8" spans="1:8" x14ac:dyDescent="0.2">
      <c r="A8" s="67" t="s">
        <v>31</v>
      </c>
      <c r="B8" s="67">
        <f>18*2</f>
        <v>36</v>
      </c>
      <c r="C8" s="67">
        <v>0</v>
      </c>
      <c r="D8" s="67" t="s">
        <v>125</v>
      </c>
    </row>
    <row r="9" spans="1:8" ht="25" x14ac:dyDescent="0.2">
      <c r="A9" s="67" t="s">
        <v>33</v>
      </c>
      <c r="B9" s="67">
        <v>6</v>
      </c>
      <c r="C9" s="67">
        <f>(18-3)*2</f>
        <v>30</v>
      </c>
      <c r="D9" s="68" t="s">
        <v>126</v>
      </c>
    </row>
    <row r="10" spans="1:8" x14ac:dyDescent="0.2">
      <c r="A10" s="67" t="s">
        <v>35</v>
      </c>
      <c r="B10" s="67">
        <f>SUM(B6:B9)</f>
        <v>48</v>
      </c>
      <c r="C10" s="67">
        <f>SUM(C6:C9)</f>
        <v>42</v>
      </c>
      <c r="D10" s="92" t="s">
        <v>38</v>
      </c>
    </row>
    <row r="11" spans="1:8" ht="17" thickBot="1" x14ac:dyDescent="0.25">
      <c r="A11" s="69" t="s">
        <v>37</v>
      </c>
      <c r="B11" s="69">
        <f>B10/25</f>
        <v>1.92</v>
      </c>
      <c r="C11" s="70">
        <f>C10/20</f>
        <v>2.1</v>
      </c>
      <c r="D11" s="92"/>
    </row>
    <row r="12" spans="1:8" ht="17" thickBot="1" x14ac:dyDescent="0.25">
      <c r="A12" s="71" t="s">
        <v>40</v>
      </c>
      <c r="B12" s="72">
        <f>SUM(B11:C11)</f>
        <v>4.0199999999999996</v>
      </c>
      <c r="C12" s="64"/>
      <c r="D12" s="64"/>
    </row>
    <row r="27" spans="1:25" x14ac:dyDescent="0.2">
      <c r="V27" s="90" t="s">
        <v>45</v>
      </c>
      <c r="W27" s="91"/>
    </row>
    <row r="28" spans="1:25" ht="68" x14ac:dyDescent="0.2">
      <c r="S28" s="11" t="s">
        <v>46</v>
      </c>
      <c r="T28" s="11" t="s">
        <v>47</v>
      </c>
      <c r="U28" s="6" t="s">
        <v>48</v>
      </c>
      <c r="V28" s="6" t="s">
        <v>49</v>
      </c>
      <c r="W28" s="6" t="s">
        <v>50</v>
      </c>
      <c r="X28" s="6" t="s">
        <v>51</v>
      </c>
      <c r="Y28" s="6" t="s">
        <v>52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53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54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55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6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8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10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12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14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16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18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O21"/>
  <sheetViews>
    <sheetView workbookViewId="0">
      <selection activeCell="N20" sqref="N20"/>
    </sheetView>
  </sheetViews>
  <sheetFormatPr baseColWidth="10" defaultColWidth="10.6640625" defaultRowHeight="16" x14ac:dyDescent="0.2"/>
  <cols>
    <col min="1" max="1" width="7.83203125" bestFit="1" customWidth="1"/>
    <col min="2" max="2" width="7" bestFit="1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7.83203125" bestFit="1" customWidth="1"/>
    <col min="9" max="9" width="13.1640625" bestFit="1" customWidth="1"/>
    <col min="14" max="14" width="26.6640625" bestFit="1" customWidth="1"/>
  </cols>
  <sheetData>
    <row r="1" spans="1:15" ht="34" customHeight="1" x14ac:dyDescent="0.2">
      <c r="D1" s="93" t="s">
        <v>129</v>
      </c>
      <c r="E1" s="93"/>
    </row>
    <row r="2" spans="1:15" ht="51" x14ac:dyDescent="0.2">
      <c r="A2" s="11" t="s">
        <v>46</v>
      </c>
      <c r="B2" s="11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73" t="s">
        <v>130</v>
      </c>
      <c r="I2" s="73" t="s">
        <v>138</v>
      </c>
    </row>
    <row r="3" spans="1:15" ht="17" x14ac:dyDescent="0.2">
      <c r="A3" s="11">
        <v>1</v>
      </c>
      <c r="B3" s="6" t="s">
        <v>3</v>
      </c>
      <c r="C3" s="2">
        <v>1.2</v>
      </c>
      <c r="D3" s="13">
        <f>1600*0.04/C3</f>
        <v>53.333333333333336</v>
      </c>
      <c r="E3" s="13">
        <f>(1600-D3)/2</f>
        <v>773.33333333333337</v>
      </c>
      <c r="F3" s="2">
        <v>4.3999999999999997E-2</v>
      </c>
      <c r="G3" s="74">
        <f>(0.0004*5000)/F3</f>
        <v>45.45454545454546</v>
      </c>
      <c r="H3" s="2">
        <v>50</v>
      </c>
      <c r="I3" s="13">
        <f>H3+G3</f>
        <v>95.454545454545467</v>
      </c>
    </row>
    <row r="4" spans="1:15" ht="17" x14ac:dyDescent="0.2">
      <c r="A4" s="11">
        <v>2</v>
      </c>
      <c r="B4" s="24" t="s">
        <v>116</v>
      </c>
      <c r="C4" s="2">
        <v>0.95</v>
      </c>
      <c r="D4" s="13">
        <f t="shared" ref="D4:D5" si="0">1600*0.04/C4</f>
        <v>67.368421052631575</v>
      </c>
      <c r="E4" s="13">
        <f t="shared" ref="E4:E5" si="1">(1600-D4)/2</f>
        <v>766.31578947368416</v>
      </c>
      <c r="F4" s="2">
        <v>3.7999999999999999E-2</v>
      </c>
      <c r="G4" s="74">
        <f t="shared" ref="G4:G5" si="2">(0.0004*5000)/F4</f>
        <v>52.631578947368425</v>
      </c>
      <c r="H4" s="2">
        <v>50</v>
      </c>
      <c r="I4" s="13">
        <f t="shared" ref="I4:I5" si="3">H4+G4</f>
        <v>102.63157894736842</v>
      </c>
    </row>
    <row r="5" spans="1:15" ht="17" x14ac:dyDescent="0.2">
      <c r="A5" s="11">
        <v>3</v>
      </c>
      <c r="B5" s="24" t="s">
        <v>4</v>
      </c>
      <c r="C5" s="2">
        <v>1.58</v>
      </c>
      <c r="D5" s="13">
        <f t="shared" si="0"/>
        <v>40.506329113924046</v>
      </c>
      <c r="E5" s="13">
        <f t="shared" si="1"/>
        <v>779.74683544303798</v>
      </c>
      <c r="F5" s="2">
        <v>3.6999999999999998E-2</v>
      </c>
      <c r="G5" s="74">
        <f t="shared" si="2"/>
        <v>54.054054054054056</v>
      </c>
      <c r="H5" s="2">
        <v>50</v>
      </c>
      <c r="I5" s="13">
        <f t="shared" si="3"/>
        <v>104.05405405405406</v>
      </c>
    </row>
    <row r="7" spans="1:15" ht="68" x14ac:dyDescent="0.2">
      <c r="G7" s="62" t="s">
        <v>120</v>
      </c>
    </row>
    <row r="12" spans="1:15" x14ac:dyDescent="0.2">
      <c r="N12" s="4" t="s">
        <v>143</v>
      </c>
    </row>
    <row r="13" spans="1:15" x14ac:dyDescent="0.2">
      <c r="N13" s="2" t="s">
        <v>140</v>
      </c>
      <c r="O13" s="22">
        <v>7000</v>
      </c>
    </row>
    <row r="14" spans="1:15" x14ac:dyDescent="0.2">
      <c r="N14" s="2" t="s">
        <v>131</v>
      </c>
      <c r="O14" s="2">
        <v>5</v>
      </c>
    </row>
    <row r="15" spans="1:15" x14ac:dyDescent="0.2">
      <c r="N15" s="2" t="s">
        <v>58</v>
      </c>
      <c r="O15" s="2">
        <v>500</v>
      </c>
    </row>
    <row r="16" spans="1:15" x14ac:dyDescent="0.2">
      <c r="N16" s="2" t="s">
        <v>141</v>
      </c>
      <c r="O16" s="2">
        <f>O14*O13/O15</f>
        <v>70</v>
      </c>
    </row>
    <row r="17" spans="14:15" x14ac:dyDescent="0.2">
      <c r="N17" s="76" t="s">
        <v>144</v>
      </c>
    </row>
    <row r="18" spans="14:15" x14ac:dyDescent="0.2">
      <c r="N18" s="2" t="s">
        <v>142</v>
      </c>
      <c r="O18" s="2">
        <v>7000</v>
      </c>
    </row>
    <row r="19" spans="14:15" x14ac:dyDescent="0.2">
      <c r="N19" s="2" t="s">
        <v>133</v>
      </c>
      <c r="O19" s="2">
        <v>50000</v>
      </c>
    </row>
    <row r="20" spans="14:15" x14ac:dyDescent="0.2">
      <c r="N20" s="2" t="s">
        <v>132</v>
      </c>
      <c r="O20" s="2">
        <v>10</v>
      </c>
    </row>
    <row r="21" spans="14:15" x14ac:dyDescent="0.2">
      <c r="N21" s="2" t="s">
        <v>134</v>
      </c>
      <c r="O21" s="2">
        <f>(O20*O18)/O19</f>
        <v>1.4</v>
      </c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5"/>
  <sheetViews>
    <sheetView showRuler="0" workbookViewId="0">
      <selection sqref="A1:M16"/>
    </sheetView>
  </sheetViews>
  <sheetFormatPr baseColWidth="10" defaultColWidth="10.6640625" defaultRowHeight="16" x14ac:dyDescent="0.2"/>
  <cols>
    <col min="1" max="2" width="19.33203125" customWidth="1"/>
    <col min="3" max="3" width="9" bestFit="1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5" t="s">
        <v>65</v>
      </c>
      <c r="B1" s="50"/>
      <c r="C1" s="26"/>
      <c r="D1" s="98"/>
      <c r="E1" s="98"/>
      <c r="F1" s="98"/>
    </row>
    <row r="2" spans="1:15" ht="51" x14ac:dyDescent="0.2">
      <c r="A2" s="25"/>
      <c r="B2" s="27" t="s">
        <v>106</v>
      </c>
      <c r="C2" s="27" t="s">
        <v>66</v>
      </c>
      <c r="D2" s="25">
        <v>2</v>
      </c>
      <c r="E2" s="25">
        <v>3</v>
      </c>
      <c r="F2" s="28">
        <v>4</v>
      </c>
      <c r="G2" s="29" t="s">
        <v>67</v>
      </c>
      <c r="H2" s="29" t="s">
        <v>68</v>
      </c>
      <c r="I2" s="29" t="s">
        <v>69</v>
      </c>
      <c r="J2" s="29" t="s">
        <v>70</v>
      </c>
      <c r="K2" s="29" t="s">
        <v>71</v>
      </c>
      <c r="L2" s="29" t="s">
        <v>70</v>
      </c>
      <c r="M2" s="30" t="s">
        <v>72</v>
      </c>
    </row>
    <row r="3" spans="1:15" ht="17" x14ac:dyDescent="0.2">
      <c r="A3" s="96" t="s">
        <v>3</v>
      </c>
      <c r="B3" s="46" t="s">
        <v>94</v>
      </c>
      <c r="C3" s="31" t="s">
        <v>73</v>
      </c>
      <c r="D3" s="14" t="s">
        <v>74</v>
      </c>
      <c r="E3" s="14">
        <v>111</v>
      </c>
      <c r="F3" s="14">
        <v>9</v>
      </c>
      <c r="G3" s="14">
        <v>0.01</v>
      </c>
      <c r="H3" s="15">
        <f>E3/(G3*0.01)</f>
        <v>1110000</v>
      </c>
      <c r="I3" s="9">
        <f>AVERAGE(H3:H4)</f>
        <v>1145000</v>
      </c>
      <c r="J3" s="9">
        <f>STDEV(H3:H4)</f>
        <v>49497.474683058324</v>
      </c>
      <c r="K3" s="9">
        <f>I3*0.05</f>
        <v>57250</v>
      </c>
      <c r="L3" s="9">
        <f>J3*0.05</f>
        <v>2474.8737341529163</v>
      </c>
      <c r="M3" s="13">
        <f>K3/$O$4</f>
        <v>2.4465811965811968</v>
      </c>
    </row>
    <row r="4" spans="1:15" ht="17" x14ac:dyDescent="0.2">
      <c r="A4" s="97"/>
      <c r="B4" s="47" t="s">
        <v>94</v>
      </c>
      <c r="C4" s="31" t="s">
        <v>75</v>
      </c>
      <c r="D4" s="14" t="s">
        <v>74</v>
      </c>
      <c r="E4" s="14">
        <v>118</v>
      </c>
      <c r="F4" s="14">
        <v>9</v>
      </c>
      <c r="G4" s="14">
        <v>0.01</v>
      </c>
      <c r="H4" s="15">
        <f t="shared" ref="H4:H6" si="0">E4/(G4*0.01)</f>
        <v>1180000</v>
      </c>
      <c r="I4" s="9"/>
      <c r="J4" s="9"/>
      <c r="K4" s="9"/>
      <c r="L4" s="9"/>
      <c r="M4" s="13"/>
      <c r="O4" s="1">
        <v>23400</v>
      </c>
    </row>
    <row r="5" spans="1:15" ht="17" x14ac:dyDescent="0.2">
      <c r="A5" s="94" t="s">
        <v>121</v>
      </c>
      <c r="B5" s="48" t="s">
        <v>94</v>
      </c>
      <c r="C5" s="31" t="s">
        <v>76</v>
      </c>
      <c r="D5" s="14" t="s">
        <v>74</v>
      </c>
      <c r="E5" s="14">
        <v>132</v>
      </c>
      <c r="F5" s="14">
        <v>12</v>
      </c>
      <c r="G5" s="14">
        <v>0.01</v>
      </c>
      <c r="H5" s="15">
        <f t="shared" si="0"/>
        <v>1320000</v>
      </c>
      <c r="I5" s="9">
        <f>AVERAGE(H5:H6)</f>
        <v>1270000</v>
      </c>
      <c r="J5" s="9">
        <f>STDEV(H5:H6)</f>
        <v>70710.67811865476</v>
      </c>
      <c r="K5" s="9">
        <f>I5*0.05</f>
        <v>63500</v>
      </c>
      <c r="L5" s="9">
        <f>J5*0.05</f>
        <v>3535.533905932738</v>
      </c>
      <c r="M5" s="13">
        <f>K5/$O$4</f>
        <v>2.7136752136752138</v>
      </c>
    </row>
    <row r="6" spans="1:15" ht="17" x14ac:dyDescent="0.2">
      <c r="A6" s="95"/>
      <c r="B6" s="49" t="s">
        <v>94</v>
      </c>
      <c r="C6" s="31" t="s">
        <v>77</v>
      </c>
      <c r="D6" s="14" t="s">
        <v>74</v>
      </c>
      <c r="E6" s="14">
        <v>122</v>
      </c>
      <c r="F6" s="14">
        <v>9</v>
      </c>
      <c r="G6" s="14">
        <v>0.01</v>
      </c>
      <c r="H6" s="15">
        <f t="shared" si="0"/>
        <v>1220000</v>
      </c>
      <c r="I6" s="22"/>
      <c r="J6" s="22"/>
      <c r="K6" s="9"/>
      <c r="L6" s="9"/>
      <c r="M6" s="13"/>
    </row>
    <row r="7" spans="1:15" ht="17" x14ac:dyDescent="0.2">
      <c r="A7" s="94" t="s">
        <v>4</v>
      </c>
      <c r="B7" s="48" t="s">
        <v>94</v>
      </c>
      <c r="C7" s="31" t="s">
        <v>78</v>
      </c>
      <c r="D7" s="14" t="s">
        <v>74</v>
      </c>
      <c r="E7" s="14">
        <v>159</v>
      </c>
      <c r="F7" s="14" t="s">
        <v>94</v>
      </c>
      <c r="G7" s="14">
        <v>0.01</v>
      </c>
      <c r="H7" s="15">
        <f t="shared" ref="H7" si="1">E7/(G7*0.01)</f>
        <v>1590000</v>
      </c>
      <c r="I7" s="9">
        <f>AVERAGE(H7:H8)</f>
        <v>1695000</v>
      </c>
      <c r="J7" s="9">
        <f>STDEV(H7:H8)</f>
        <v>148492.42404917482</v>
      </c>
      <c r="K7" s="9">
        <f>I7*0.05</f>
        <v>84750</v>
      </c>
      <c r="L7" s="9">
        <f>J7*0.05</f>
        <v>7424.6212024587412</v>
      </c>
      <c r="M7" s="13">
        <f>K7/$O$4</f>
        <v>3.6217948717948718</v>
      </c>
    </row>
    <row r="8" spans="1:15" ht="17" x14ac:dyDescent="0.2">
      <c r="A8" s="95"/>
      <c r="B8" s="49" t="s">
        <v>94</v>
      </c>
      <c r="C8" s="31" t="s">
        <v>79</v>
      </c>
      <c r="D8" s="14" t="s">
        <v>74</v>
      </c>
      <c r="E8" s="14" t="s">
        <v>74</v>
      </c>
      <c r="F8" s="14">
        <v>18</v>
      </c>
      <c r="G8" s="14">
        <v>1E-3</v>
      </c>
      <c r="H8" s="15">
        <f t="shared" ref="H8:H14" si="2">F8/(G8*0.01)</f>
        <v>1799999.9999999998</v>
      </c>
      <c r="I8" s="22"/>
      <c r="J8" s="22"/>
      <c r="K8" s="9"/>
      <c r="L8" s="9"/>
      <c r="M8" s="13"/>
    </row>
    <row r="9" spans="1:15" ht="16" customHeight="1" x14ac:dyDescent="0.2">
      <c r="A9" s="96" t="s">
        <v>3</v>
      </c>
      <c r="B9" s="46" t="s">
        <v>107</v>
      </c>
      <c r="C9" s="31" t="s">
        <v>100</v>
      </c>
      <c r="D9" s="14" t="s">
        <v>74</v>
      </c>
      <c r="E9" s="14">
        <v>126</v>
      </c>
      <c r="F9" s="14" t="s">
        <v>94</v>
      </c>
      <c r="G9" s="14">
        <v>0.01</v>
      </c>
      <c r="H9" s="15">
        <f>E9/(G9*0.01)</f>
        <v>1260000</v>
      </c>
      <c r="I9" s="9">
        <f>AVERAGE(H9:H10)</f>
        <v>1320000</v>
      </c>
      <c r="J9" s="9">
        <f>STDEV(H9:H10)</f>
        <v>84852.813742385697</v>
      </c>
      <c r="K9" s="9">
        <f>I9*0.05</f>
        <v>66000</v>
      </c>
      <c r="L9" s="9">
        <f>J9*0.05</f>
        <v>4242.6406871192848</v>
      </c>
      <c r="M9" s="13">
        <f>K9/O4</f>
        <v>2.8205128205128207</v>
      </c>
    </row>
    <row r="10" spans="1:15" ht="17" x14ac:dyDescent="0.2">
      <c r="A10" s="97"/>
      <c r="B10" s="47" t="s">
        <v>107</v>
      </c>
      <c r="C10" s="31" t="s">
        <v>101</v>
      </c>
      <c r="D10" s="14" t="s">
        <v>74</v>
      </c>
      <c r="E10" s="14">
        <v>138</v>
      </c>
      <c r="F10" s="14" t="s">
        <v>94</v>
      </c>
      <c r="G10" s="14">
        <v>0.01</v>
      </c>
      <c r="H10" s="15">
        <f t="shared" ref="H10:H11" si="3">E10/(G10*0.01)</f>
        <v>1380000</v>
      </c>
      <c r="I10" s="22"/>
      <c r="J10" s="22"/>
      <c r="K10" s="9"/>
      <c r="L10" s="9"/>
      <c r="M10" s="13"/>
    </row>
    <row r="11" spans="1:15" ht="17" x14ac:dyDescent="0.2">
      <c r="A11" s="94" t="s">
        <v>121</v>
      </c>
      <c r="B11" s="48" t="s">
        <v>107</v>
      </c>
      <c r="C11" s="31" t="s">
        <v>102</v>
      </c>
      <c r="D11" s="14" t="s">
        <v>74</v>
      </c>
      <c r="E11" s="14">
        <v>133</v>
      </c>
      <c r="F11" s="14" t="s">
        <v>94</v>
      </c>
      <c r="G11" s="14">
        <v>0.01</v>
      </c>
      <c r="H11" s="15">
        <f t="shared" si="3"/>
        <v>1330000</v>
      </c>
      <c r="I11" s="9">
        <f>AVERAGE(H11)</f>
        <v>1330000</v>
      </c>
      <c r="J11" s="9" t="e">
        <f>STDEV(H11:H12)</f>
        <v>#VALUE!</v>
      </c>
      <c r="K11" s="9">
        <f>I11*0.05</f>
        <v>66500</v>
      </c>
      <c r="L11" s="9" t="e">
        <f>J11*0.05</f>
        <v>#VALUE!</v>
      </c>
      <c r="M11" s="13">
        <f>K11/O4</f>
        <v>2.841880341880342</v>
      </c>
    </row>
    <row r="12" spans="1:15" ht="17" x14ac:dyDescent="0.2">
      <c r="A12" s="95"/>
      <c r="B12" s="49" t="s">
        <v>107</v>
      </c>
      <c r="C12" s="31" t="s">
        <v>103</v>
      </c>
      <c r="D12" s="14">
        <v>6</v>
      </c>
      <c r="E12" s="14" t="s">
        <v>94</v>
      </c>
      <c r="F12" s="14" t="s">
        <v>94</v>
      </c>
      <c r="G12" s="14"/>
      <c r="H12" s="15" t="e">
        <f t="shared" si="2"/>
        <v>#VALUE!</v>
      </c>
      <c r="I12" s="22"/>
      <c r="J12" s="22"/>
      <c r="K12" s="9"/>
      <c r="L12" s="9"/>
      <c r="M12" s="13"/>
    </row>
    <row r="13" spans="1:15" ht="17" x14ac:dyDescent="0.2">
      <c r="A13" s="94" t="s">
        <v>4</v>
      </c>
      <c r="B13" s="48" t="s">
        <v>107</v>
      </c>
      <c r="C13" s="31" t="s">
        <v>104</v>
      </c>
      <c r="D13" s="14" t="s">
        <v>74</v>
      </c>
      <c r="E13" s="14" t="s">
        <v>74</v>
      </c>
      <c r="F13" s="14">
        <v>19</v>
      </c>
      <c r="G13" s="14">
        <v>1E-3</v>
      </c>
      <c r="H13" s="15">
        <f t="shared" si="2"/>
        <v>1899999.9999999998</v>
      </c>
      <c r="I13" s="9">
        <f>AVERAGE(H13:H14)</f>
        <v>1699999.9999999998</v>
      </c>
      <c r="J13" s="9">
        <f>STDEV(H13:H14)</f>
        <v>282842.71247461904</v>
      </c>
      <c r="K13" s="9">
        <f>I13*0.05</f>
        <v>85000</v>
      </c>
      <c r="L13" s="9">
        <f>J13*0.05</f>
        <v>14142.135623730952</v>
      </c>
      <c r="M13" s="13">
        <f>K13/O4</f>
        <v>3.6324786324786325</v>
      </c>
    </row>
    <row r="14" spans="1:15" ht="17" x14ac:dyDescent="0.2">
      <c r="A14" s="95"/>
      <c r="B14" s="49" t="s">
        <v>107</v>
      </c>
      <c r="C14" s="31" t="s">
        <v>105</v>
      </c>
      <c r="D14" s="14" t="s">
        <v>74</v>
      </c>
      <c r="E14" s="14" t="s">
        <v>74</v>
      </c>
      <c r="F14" s="14">
        <v>15</v>
      </c>
      <c r="G14" s="14">
        <v>1E-3</v>
      </c>
      <c r="H14" s="15">
        <f t="shared" si="2"/>
        <v>1499999.9999999998</v>
      </c>
      <c r="I14" s="22"/>
      <c r="J14" s="22"/>
      <c r="K14" s="9"/>
      <c r="L14" s="9"/>
      <c r="M14" s="13"/>
    </row>
    <row r="15" spans="1:15" x14ac:dyDescent="0.2">
      <c r="A15" s="40"/>
      <c r="B15" s="40"/>
      <c r="C15" s="31"/>
      <c r="D15" s="14"/>
      <c r="E15" s="14"/>
      <c r="F15" s="14"/>
      <c r="G15" s="41"/>
      <c r="H15" s="42"/>
      <c r="I15" s="43"/>
      <c r="J15" s="43"/>
      <c r="K15" s="44"/>
      <c r="L15" s="44"/>
      <c r="M15" s="45"/>
    </row>
    <row r="16" spans="1:15" x14ac:dyDescent="0.2">
      <c r="A16" s="2" t="s">
        <v>80</v>
      </c>
      <c r="B16" s="2"/>
      <c r="C16" s="2"/>
      <c r="D16" s="2">
        <v>0.1</v>
      </c>
      <c r="E16" s="2">
        <f>D16/10</f>
        <v>0.01</v>
      </c>
      <c r="F16" s="2">
        <f>E16/10</f>
        <v>1E-3</v>
      </c>
    </row>
    <row r="17" spans="1:4" ht="16" customHeight="1" x14ac:dyDescent="0.2"/>
    <row r="18" spans="1:4" x14ac:dyDescent="0.2">
      <c r="A18" s="2" t="s">
        <v>47</v>
      </c>
      <c r="B18" s="2" t="s">
        <v>108</v>
      </c>
      <c r="C18" s="2" t="s">
        <v>71</v>
      </c>
      <c r="D18" s="2" t="s">
        <v>70</v>
      </c>
    </row>
    <row r="19" spans="1:4" ht="17" x14ac:dyDescent="0.2">
      <c r="A19" s="6" t="s">
        <v>3</v>
      </c>
      <c r="B19" s="6" t="s">
        <v>94</v>
      </c>
      <c r="C19" s="9">
        <f>K3</f>
        <v>57250</v>
      </c>
      <c r="D19" s="9">
        <f>L3</f>
        <v>2474.8737341529163</v>
      </c>
    </row>
    <row r="20" spans="1:4" ht="17" x14ac:dyDescent="0.2">
      <c r="A20" s="6" t="s">
        <v>116</v>
      </c>
      <c r="B20" s="6" t="s">
        <v>94</v>
      </c>
      <c r="C20" s="9">
        <f>K5</f>
        <v>63500</v>
      </c>
      <c r="D20" s="9">
        <f>L5</f>
        <v>3535.533905932738</v>
      </c>
    </row>
    <row r="21" spans="1:4" ht="17" x14ac:dyDescent="0.2">
      <c r="A21" s="6" t="s">
        <v>4</v>
      </c>
      <c r="B21" s="6" t="s">
        <v>94</v>
      </c>
      <c r="C21" s="9">
        <f>K7</f>
        <v>84750</v>
      </c>
      <c r="D21" s="9">
        <f>L7</f>
        <v>7424.6212024587412</v>
      </c>
    </row>
    <row r="22" spans="1:4" ht="17" x14ac:dyDescent="0.2">
      <c r="A22" s="6" t="s">
        <v>3</v>
      </c>
      <c r="B22" s="6" t="s">
        <v>107</v>
      </c>
      <c r="C22" s="9">
        <f>K9</f>
        <v>66000</v>
      </c>
      <c r="D22" s="9">
        <f>L9</f>
        <v>4242.6406871192848</v>
      </c>
    </row>
    <row r="23" spans="1:4" ht="17" x14ac:dyDescent="0.2">
      <c r="A23" s="6" t="s">
        <v>116</v>
      </c>
      <c r="B23" s="6" t="s">
        <v>107</v>
      </c>
      <c r="C23" s="9">
        <f>K11</f>
        <v>66500</v>
      </c>
      <c r="D23" s="9" t="e">
        <f>L11</f>
        <v>#VALUE!</v>
      </c>
    </row>
    <row r="24" spans="1:4" ht="17" x14ac:dyDescent="0.2">
      <c r="A24" s="6" t="s">
        <v>4</v>
      </c>
      <c r="B24" s="6" t="s">
        <v>107</v>
      </c>
      <c r="C24" s="9">
        <f>K13</f>
        <v>85000</v>
      </c>
      <c r="D24" s="9">
        <f>L13</f>
        <v>14142.135623730952</v>
      </c>
    </row>
    <row r="25" spans="1:4" ht="16" customHeight="1" x14ac:dyDescent="0.2"/>
  </sheetData>
  <mergeCells count="7">
    <mergeCell ref="A13:A14"/>
    <mergeCell ref="A9:A10"/>
    <mergeCell ref="A11:A12"/>
    <mergeCell ref="D1:F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FA1F-8233-444C-8FD3-9BAAE83CEE61}">
  <dimension ref="A3:Q11"/>
  <sheetViews>
    <sheetView workbookViewId="0">
      <selection activeCell="J18" sqref="J18"/>
    </sheetView>
  </sheetViews>
  <sheetFormatPr baseColWidth="10" defaultRowHeight="16" x14ac:dyDescent="0.2"/>
  <sheetData>
    <row r="3" spans="1:17" ht="51" x14ac:dyDescent="0.2">
      <c r="A3" s="77" t="s">
        <v>139</v>
      </c>
      <c r="B3" s="78"/>
      <c r="C3" s="25">
        <v>2</v>
      </c>
      <c r="D3" s="28">
        <v>3</v>
      </c>
      <c r="E3" s="28">
        <v>4</v>
      </c>
      <c r="F3" s="28">
        <v>5</v>
      </c>
      <c r="G3" s="28">
        <v>6</v>
      </c>
      <c r="H3" s="25">
        <v>2</v>
      </c>
      <c r="I3" s="28">
        <v>3</v>
      </c>
      <c r="J3" s="28">
        <v>4</v>
      </c>
      <c r="K3" s="39">
        <v>5</v>
      </c>
      <c r="L3" s="39">
        <v>6</v>
      </c>
      <c r="M3" s="29" t="s">
        <v>67</v>
      </c>
      <c r="N3" s="29" t="s">
        <v>84</v>
      </c>
      <c r="O3" s="29" t="s">
        <v>145</v>
      </c>
      <c r="P3" s="29" t="s">
        <v>51</v>
      </c>
      <c r="Q3" s="29" t="s">
        <v>146</v>
      </c>
    </row>
    <row r="4" spans="1:17" ht="17" x14ac:dyDescent="0.2">
      <c r="A4" s="79">
        <v>1</v>
      </c>
      <c r="B4" s="24" t="s">
        <v>3</v>
      </c>
      <c r="C4" s="80" t="s">
        <v>74</v>
      </c>
      <c r="D4" s="80" t="s">
        <v>74</v>
      </c>
      <c r="E4" s="80" t="s">
        <v>74</v>
      </c>
      <c r="F4" s="80" t="s">
        <v>74</v>
      </c>
      <c r="G4" s="80">
        <v>12</v>
      </c>
      <c r="H4" s="80" t="s">
        <v>74</v>
      </c>
      <c r="I4" s="80" t="s">
        <v>74</v>
      </c>
      <c r="J4" s="80" t="s">
        <v>74</v>
      </c>
      <c r="K4" s="80" t="s">
        <v>74</v>
      </c>
      <c r="L4" s="80">
        <v>13</v>
      </c>
      <c r="M4" s="80">
        <v>1.0000000000000001E-5</v>
      </c>
      <c r="N4" s="81">
        <f>AVERAGE(G4,L4)</f>
        <v>12.5</v>
      </c>
      <c r="O4" s="82">
        <f>(N4/(0.01*M4))</f>
        <v>124999999.99999999</v>
      </c>
      <c r="P4" s="78">
        <v>4.3999999999999997E-2</v>
      </c>
      <c r="Q4" s="82">
        <f>O4/P4</f>
        <v>2840909090.9090905</v>
      </c>
    </row>
    <row r="5" spans="1:17" ht="17" x14ac:dyDescent="0.2">
      <c r="A5" s="77">
        <v>2</v>
      </c>
      <c r="B5" s="24" t="s">
        <v>116</v>
      </c>
      <c r="C5" s="80" t="s">
        <v>74</v>
      </c>
      <c r="D5" s="80" t="s">
        <v>74</v>
      </c>
      <c r="E5" s="80" t="s">
        <v>74</v>
      </c>
      <c r="F5" s="80" t="s">
        <v>74</v>
      </c>
      <c r="G5" s="80">
        <v>13</v>
      </c>
      <c r="H5" s="80" t="s">
        <v>74</v>
      </c>
      <c r="I5" s="80" t="s">
        <v>74</v>
      </c>
      <c r="J5" s="80" t="s">
        <v>74</v>
      </c>
      <c r="K5" s="80" t="s">
        <v>74</v>
      </c>
      <c r="L5" s="80">
        <v>13</v>
      </c>
      <c r="M5" s="80">
        <v>1.0000000000000001E-5</v>
      </c>
      <c r="N5" s="81">
        <f t="shared" ref="N5:N6" si="0">AVERAGE(G5,L5)</f>
        <v>13</v>
      </c>
      <c r="O5" s="82">
        <f t="shared" ref="O5:O6" si="1">(N5/(0.01*M5))</f>
        <v>129999999.99999999</v>
      </c>
      <c r="P5" s="78">
        <v>3.7999999999999999E-2</v>
      </c>
      <c r="Q5" s="82">
        <f t="shared" ref="Q5:Q6" si="2">O5/P5</f>
        <v>3421052631.5789471</v>
      </c>
    </row>
    <row r="6" spans="1:17" ht="17" x14ac:dyDescent="0.2">
      <c r="A6" s="77">
        <v>3</v>
      </c>
      <c r="B6" s="24" t="s">
        <v>4</v>
      </c>
      <c r="C6" s="80" t="s">
        <v>74</v>
      </c>
      <c r="D6" s="80" t="s">
        <v>74</v>
      </c>
      <c r="E6" s="80" t="s">
        <v>74</v>
      </c>
      <c r="F6" s="80" t="s">
        <v>74</v>
      </c>
      <c r="G6" s="80">
        <v>12</v>
      </c>
      <c r="H6" s="80" t="s">
        <v>74</v>
      </c>
      <c r="I6" s="80" t="s">
        <v>74</v>
      </c>
      <c r="J6" s="80" t="s">
        <v>74</v>
      </c>
      <c r="K6" s="80" t="s">
        <v>74</v>
      </c>
      <c r="L6" s="80">
        <v>18</v>
      </c>
      <c r="M6" s="80">
        <v>1.0000000000000001E-5</v>
      </c>
      <c r="N6" s="81">
        <f t="shared" si="0"/>
        <v>15</v>
      </c>
      <c r="O6" s="82">
        <f t="shared" si="1"/>
        <v>150000000</v>
      </c>
      <c r="P6" s="78">
        <v>3.6999999999999998E-2</v>
      </c>
      <c r="Q6" s="82">
        <f t="shared" si="2"/>
        <v>4054054054.0540543</v>
      </c>
    </row>
    <row r="7" spans="1:17" x14ac:dyDescent="0.2">
      <c r="A7" s="83"/>
      <c r="B7" s="78" t="s">
        <v>80</v>
      </c>
      <c r="C7" s="78">
        <v>0.1</v>
      </c>
      <c r="D7" s="78">
        <f>C7/10</f>
        <v>0.01</v>
      </c>
      <c r="E7" s="78">
        <v>1E-3</v>
      </c>
      <c r="F7" s="78">
        <f>E7/10</f>
        <v>1E-4</v>
      </c>
      <c r="G7" s="78">
        <f>F7/10</f>
        <v>1.0000000000000001E-5</v>
      </c>
      <c r="H7" s="78">
        <v>0.1</v>
      </c>
      <c r="I7" s="78">
        <f>H7/10</f>
        <v>0.01</v>
      </c>
      <c r="J7" s="78">
        <v>1E-3</v>
      </c>
      <c r="K7" s="78">
        <f>J7/10</f>
        <v>1E-4</v>
      </c>
      <c r="L7" s="78">
        <f>K7/10</f>
        <v>1.0000000000000001E-5</v>
      </c>
      <c r="M7" s="83"/>
      <c r="N7" s="83"/>
      <c r="O7" s="84"/>
      <c r="P7" s="84"/>
      <c r="Q7" s="84"/>
    </row>
    <row r="8" spans="1:17" x14ac:dyDescent="0.2">
      <c r="A8" s="83"/>
      <c r="B8" s="99"/>
      <c r="C8" s="99"/>
      <c r="D8" s="99"/>
      <c r="E8" s="99"/>
      <c r="F8" s="99"/>
      <c r="G8" s="99"/>
      <c r="H8" s="99"/>
      <c r="I8" s="99"/>
      <c r="J8" s="99"/>
      <c r="K8" s="99"/>
      <c r="L8" s="85"/>
      <c r="M8" s="83"/>
      <c r="N8" s="83"/>
      <c r="O8" s="83"/>
      <c r="P8" s="83"/>
      <c r="Q8" s="83"/>
    </row>
    <row r="9" spans="1:17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">
    <mergeCell ref="B8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L1" zoomScale="110" zoomScaleNormal="110" workbookViewId="0">
      <selection activeCell="S21" sqref="S21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6"/>
      <c r="I1" s="26"/>
      <c r="J1" s="26"/>
      <c r="K1" s="63"/>
      <c r="L1" s="32"/>
      <c r="M1" s="32"/>
      <c r="N1" s="32"/>
      <c r="O1" s="33"/>
      <c r="P1" s="33"/>
    </row>
    <row r="2" spans="1:28" ht="51" x14ac:dyDescent="0.2">
      <c r="A2" s="25"/>
      <c r="B2" s="25" t="s">
        <v>106</v>
      </c>
      <c r="C2" s="34" t="s">
        <v>81</v>
      </c>
      <c r="D2" s="34" t="s">
        <v>82</v>
      </c>
      <c r="E2" s="34" t="s">
        <v>83</v>
      </c>
      <c r="F2" s="30" t="s">
        <v>67</v>
      </c>
      <c r="G2" s="30" t="s">
        <v>84</v>
      </c>
      <c r="H2" s="30" t="s">
        <v>85</v>
      </c>
      <c r="I2" s="30" t="s">
        <v>86</v>
      </c>
      <c r="K2" s="31" t="s">
        <v>139</v>
      </c>
      <c r="L2" s="2"/>
      <c r="M2" s="2" t="s">
        <v>108</v>
      </c>
      <c r="N2" s="29" t="s">
        <v>87</v>
      </c>
      <c r="O2" s="25" t="s">
        <v>88</v>
      </c>
      <c r="P2" s="35" t="s">
        <v>89</v>
      </c>
      <c r="Q2" s="34" t="s">
        <v>86</v>
      </c>
      <c r="R2" s="30" t="s">
        <v>90</v>
      </c>
    </row>
    <row r="3" spans="1:28" ht="17" x14ac:dyDescent="0.2">
      <c r="A3" s="100" t="s">
        <v>3</v>
      </c>
      <c r="B3" s="53"/>
      <c r="C3" s="11" t="s">
        <v>73</v>
      </c>
      <c r="D3" s="36">
        <v>8</v>
      </c>
      <c r="E3" s="36">
        <v>11</v>
      </c>
      <c r="F3" s="14">
        <v>1</v>
      </c>
      <c r="G3" s="22">
        <f t="shared" ref="G3:G11" si="0">AVERAGE(D3,E3)</f>
        <v>9.5</v>
      </c>
      <c r="H3" s="9">
        <f>(G3/(0.05*F3))*0.2</f>
        <v>38</v>
      </c>
      <c r="I3" s="103">
        <f>TTEST(H3:H5,H3:H5,2,2)</f>
        <v>1</v>
      </c>
      <c r="J3" s="1"/>
      <c r="K3" s="75">
        <v>1</v>
      </c>
      <c r="L3" s="6" t="s">
        <v>3</v>
      </c>
      <c r="M3" s="6" t="s">
        <v>94</v>
      </c>
      <c r="N3" s="9">
        <f>AVERAGE(H3:H5)</f>
        <v>53.333333333333336</v>
      </c>
      <c r="O3" s="9">
        <f>STDEV(H3:H5)</f>
        <v>30.088757590391349</v>
      </c>
      <c r="P3" s="13">
        <v>2.4465811965811968</v>
      </c>
      <c r="Q3" s="18"/>
      <c r="R3" s="23">
        <f>IF(N3/$N$3&gt;=1,N3/$N$3,-$N$3/N3)</f>
        <v>1</v>
      </c>
      <c r="S3" s="45"/>
      <c r="U3" s="1"/>
      <c r="W3" s="1"/>
      <c r="X3" s="1"/>
      <c r="Y3" s="1"/>
      <c r="Z3" s="1"/>
      <c r="AA3" s="1"/>
      <c r="AB3" s="1"/>
    </row>
    <row r="4" spans="1:28" ht="17" x14ac:dyDescent="0.2">
      <c r="A4" s="101"/>
      <c r="B4" s="54"/>
      <c r="C4" s="11" t="s">
        <v>75</v>
      </c>
      <c r="D4" s="36">
        <v>19</v>
      </c>
      <c r="E4" s="36">
        <v>25</v>
      </c>
      <c r="F4" s="14">
        <v>1</v>
      </c>
      <c r="G4" s="22">
        <f t="shared" si="0"/>
        <v>22</v>
      </c>
      <c r="H4" s="9">
        <f t="shared" ref="H4:H11" si="1">(G4/(0.05*F4))*0.2</f>
        <v>88</v>
      </c>
      <c r="I4" s="103"/>
      <c r="K4" s="31">
        <v>2</v>
      </c>
      <c r="L4" s="6" t="s">
        <v>116</v>
      </c>
      <c r="M4" s="6" t="s">
        <v>94</v>
      </c>
      <c r="N4" s="9">
        <f>AVERAGE(H6:H8)</f>
        <v>24</v>
      </c>
      <c r="O4" s="9">
        <f>STDEV(H6:H8)</f>
        <v>10.392304845413264</v>
      </c>
      <c r="P4" s="13">
        <v>2.7136752136752138</v>
      </c>
      <c r="Q4" s="18">
        <f>TTEST(H3:H5,H6:H8,2,2)</f>
        <v>0.18571181162873476</v>
      </c>
      <c r="R4" s="23">
        <f>IF(N4/$N$3&gt;=1,N4/$N$3,-$N$3/N4)</f>
        <v>-2.2222222222222223</v>
      </c>
      <c r="S4" s="45"/>
    </row>
    <row r="5" spans="1:28" ht="17" x14ac:dyDescent="0.2">
      <c r="A5" s="102"/>
      <c r="B5" s="55"/>
      <c r="C5" s="11" t="s">
        <v>91</v>
      </c>
      <c r="D5" s="36">
        <v>10</v>
      </c>
      <c r="E5" s="36">
        <v>7</v>
      </c>
      <c r="F5" s="14">
        <v>1</v>
      </c>
      <c r="G5" s="22">
        <f t="shared" si="0"/>
        <v>8.5</v>
      </c>
      <c r="H5" s="9">
        <f t="shared" si="1"/>
        <v>34</v>
      </c>
      <c r="I5" s="103"/>
      <c r="K5" s="31">
        <v>3</v>
      </c>
      <c r="L5" s="6" t="s">
        <v>4</v>
      </c>
      <c r="M5" s="6" t="s">
        <v>94</v>
      </c>
      <c r="N5" s="9">
        <f>AVERAGE(H9:H11)</f>
        <v>53.333333333333336</v>
      </c>
      <c r="O5" s="9">
        <f>STDEV(H9:H11)</f>
        <v>9.8657657246324799</v>
      </c>
      <c r="P5" s="13">
        <v>3.6217948717948718</v>
      </c>
      <c r="Q5" s="18">
        <f>TTEST(H3:H5,H9:H11,2,2)</f>
        <v>1</v>
      </c>
      <c r="R5" s="23">
        <f>IF(N5/$N$3&gt;=1,N5/$N$3,-$N$3/N5)</f>
        <v>1</v>
      </c>
      <c r="S5" s="45"/>
    </row>
    <row r="6" spans="1:28" ht="15" customHeight="1" x14ac:dyDescent="0.2">
      <c r="A6" s="96" t="s">
        <v>122</v>
      </c>
      <c r="B6" s="46"/>
      <c r="C6" s="11" t="s">
        <v>76</v>
      </c>
      <c r="D6" s="36">
        <v>7</v>
      </c>
      <c r="E6" s="36">
        <v>8</v>
      </c>
      <c r="F6" s="14">
        <v>1</v>
      </c>
      <c r="G6" s="2">
        <f t="shared" si="0"/>
        <v>7.5</v>
      </c>
      <c r="H6" s="9">
        <f t="shared" si="1"/>
        <v>30</v>
      </c>
      <c r="I6" s="103">
        <f>TTEST(H6:H8,H3:H5,2,2)</f>
        <v>0.18571181162873476</v>
      </c>
      <c r="K6" s="31">
        <v>4</v>
      </c>
      <c r="L6" s="6" t="s">
        <v>3</v>
      </c>
      <c r="M6" s="60" t="s">
        <v>107</v>
      </c>
      <c r="N6" s="9">
        <f>AVERAGE(H12:H14)</f>
        <v>35.333333333333336</v>
      </c>
      <c r="O6" s="9">
        <f>STDEV(H12:H14)</f>
        <v>12.701705922171763</v>
      </c>
      <c r="P6" s="13">
        <v>2.8205128205128207</v>
      </c>
      <c r="Q6" s="18">
        <f>TTEST(H3:H5,H12:H14,2,2)</f>
        <v>0.39383994886216334</v>
      </c>
      <c r="R6" s="23">
        <f t="shared" ref="R6:R8" si="2">IF(N6/$N$3&gt;=1,N6/$N$3,-$N$3/N6)</f>
        <v>-1.5094339622641508</v>
      </c>
      <c r="S6" s="45"/>
    </row>
    <row r="7" spans="1:28" ht="15" customHeight="1" x14ac:dyDescent="0.2">
      <c r="A7" s="104"/>
      <c r="B7" s="52"/>
      <c r="C7" s="11" t="s">
        <v>77</v>
      </c>
      <c r="D7" s="36">
        <v>10</v>
      </c>
      <c r="E7" s="36">
        <v>5</v>
      </c>
      <c r="F7" s="14">
        <v>1</v>
      </c>
      <c r="G7" s="2">
        <f t="shared" si="0"/>
        <v>7.5</v>
      </c>
      <c r="H7" s="9">
        <f t="shared" si="1"/>
        <v>30</v>
      </c>
      <c r="I7" s="103"/>
      <c r="K7" s="31">
        <v>5</v>
      </c>
      <c r="L7" s="6" t="s">
        <v>116</v>
      </c>
      <c r="M7" s="31" t="s">
        <v>107</v>
      </c>
      <c r="N7" s="9">
        <f>AVERAGE(H15:H17)</f>
        <v>36</v>
      </c>
      <c r="O7" s="9">
        <f>STDEV(H15:H17)</f>
        <v>31.240998703626616</v>
      </c>
      <c r="P7" s="13">
        <v>2.841880341880342</v>
      </c>
      <c r="Q7" s="18">
        <f>TTEST(H3:H5,H15:H17,2,2)</f>
        <v>0.52691525129325179</v>
      </c>
      <c r="R7" s="23">
        <f t="shared" si="2"/>
        <v>-1.4814814814814816</v>
      </c>
      <c r="S7" s="45"/>
    </row>
    <row r="8" spans="1:28" ht="17" x14ac:dyDescent="0.2">
      <c r="A8" s="97"/>
      <c r="B8" s="47"/>
      <c r="C8" s="11" t="s">
        <v>92</v>
      </c>
      <c r="D8" s="36">
        <v>6</v>
      </c>
      <c r="E8" s="36">
        <v>0</v>
      </c>
      <c r="F8" s="14">
        <v>1</v>
      </c>
      <c r="G8" s="2">
        <f t="shared" si="0"/>
        <v>3</v>
      </c>
      <c r="H8" s="9">
        <f t="shared" si="1"/>
        <v>12</v>
      </c>
      <c r="I8" s="103"/>
      <c r="K8" s="31">
        <v>6</v>
      </c>
      <c r="L8" s="6" t="s">
        <v>4</v>
      </c>
      <c r="M8" s="31" t="s">
        <v>107</v>
      </c>
      <c r="N8" s="9">
        <f>AVERAGE(H18:H20)</f>
        <v>26.666666666666668</v>
      </c>
      <c r="O8" s="9">
        <f>STDEV(H18:H20)</f>
        <v>13.316656236958783</v>
      </c>
      <c r="P8" s="13">
        <v>3.6324786324786325</v>
      </c>
      <c r="Q8" s="18">
        <f>TTEST(H3:H5,H18:H20,2,2)</f>
        <v>0.23307201880571973</v>
      </c>
      <c r="R8" s="23">
        <f t="shared" si="2"/>
        <v>-2</v>
      </c>
      <c r="S8" s="45"/>
    </row>
    <row r="9" spans="1:28" ht="15" customHeight="1" x14ac:dyDescent="0.2">
      <c r="A9" s="96" t="s">
        <v>123</v>
      </c>
      <c r="B9" s="46"/>
      <c r="C9" s="11" t="s">
        <v>78</v>
      </c>
      <c r="D9" s="36">
        <v>12</v>
      </c>
      <c r="E9" s="36">
        <v>9</v>
      </c>
      <c r="F9" s="14">
        <v>1</v>
      </c>
      <c r="G9" s="2">
        <f t="shared" si="0"/>
        <v>10.5</v>
      </c>
      <c r="H9" s="9">
        <f t="shared" si="1"/>
        <v>42</v>
      </c>
      <c r="I9" s="103">
        <f>TTEST(H9:H11,H3:H5,2,2)</f>
        <v>1</v>
      </c>
      <c r="L9" s="51"/>
      <c r="M9" s="51"/>
      <c r="N9" s="44"/>
      <c r="O9" s="44"/>
      <c r="P9" s="56"/>
      <c r="Q9" s="58"/>
      <c r="R9" s="57"/>
      <c r="S9" s="45"/>
    </row>
    <row r="10" spans="1:28" x14ac:dyDescent="0.2">
      <c r="A10" s="104"/>
      <c r="B10" s="52"/>
      <c r="C10" s="11" t="s">
        <v>79</v>
      </c>
      <c r="D10" s="36">
        <v>14</v>
      </c>
      <c r="E10" s="36">
        <v>15</v>
      </c>
      <c r="F10" s="14">
        <v>1</v>
      </c>
      <c r="G10" s="2">
        <f t="shared" si="0"/>
        <v>14.5</v>
      </c>
      <c r="H10" s="9">
        <f t="shared" si="1"/>
        <v>58</v>
      </c>
      <c r="I10" s="103"/>
      <c r="L10" s="59"/>
      <c r="M10" s="59"/>
      <c r="N10" s="44"/>
      <c r="O10" s="44"/>
      <c r="P10" s="56"/>
      <c r="Q10" s="58"/>
      <c r="R10" s="57"/>
      <c r="S10" s="45"/>
    </row>
    <row r="11" spans="1:28" ht="15" customHeight="1" x14ac:dyDescent="0.2">
      <c r="A11" s="97"/>
      <c r="B11" s="47"/>
      <c r="C11" s="11" t="s">
        <v>93</v>
      </c>
      <c r="D11" s="36">
        <v>14</v>
      </c>
      <c r="E11" s="36">
        <v>16</v>
      </c>
      <c r="F11" s="14">
        <v>1</v>
      </c>
      <c r="G11" s="2">
        <f t="shared" si="0"/>
        <v>15</v>
      </c>
      <c r="H11" s="9">
        <f t="shared" si="1"/>
        <v>60</v>
      </c>
      <c r="I11" s="103"/>
      <c r="L11" s="51"/>
      <c r="M11" s="51"/>
      <c r="N11" s="44"/>
      <c r="O11" s="44"/>
      <c r="P11" s="56"/>
      <c r="Q11" s="58"/>
      <c r="R11" s="57"/>
      <c r="S11" s="45"/>
    </row>
    <row r="12" spans="1:28" x14ac:dyDescent="0.2">
      <c r="A12" s="100" t="s">
        <v>3</v>
      </c>
      <c r="B12" s="53"/>
      <c r="C12" s="11" t="s">
        <v>100</v>
      </c>
      <c r="D12" s="36">
        <v>11</v>
      </c>
      <c r="E12" s="36">
        <v>3</v>
      </c>
      <c r="F12" s="14">
        <v>1</v>
      </c>
      <c r="G12" s="2">
        <f t="shared" ref="G12:G17" si="3">AVERAGE(D12,E12)</f>
        <v>7</v>
      </c>
      <c r="H12" s="9">
        <f t="shared" ref="H12:H15" si="4">(G12/(0.05*F12))*0.2</f>
        <v>28</v>
      </c>
      <c r="I12" s="103">
        <f>TTEST(H12:H14,H3:H5,2,2)</f>
        <v>0.39383994886216334</v>
      </c>
      <c r="L12" s="51"/>
      <c r="M12" s="51"/>
      <c r="N12" s="44"/>
      <c r="O12" s="44"/>
      <c r="P12" s="56"/>
      <c r="Q12" s="58"/>
      <c r="R12" s="57"/>
      <c r="S12" s="45"/>
    </row>
    <row r="13" spans="1:28" ht="15" customHeight="1" x14ac:dyDescent="0.2">
      <c r="A13" s="101"/>
      <c r="B13" s="54"/>
      <c r="C13" s="11">
        <f>(18-3)*2</f>
        <v>30</v>
      </c>
      <c r="D13" s="36">
        <v>10</v>
      </c>
      <c r="E13" s="36">
        <v>15</v>
      </c>
      <c r="F13" s="14">
        <v>1</v>
      </c>
      <c r="G13" s="2">
        <f t="shared" si="3"/>
        <v>12.5</v>
      </c>
      <c r="H13" s="9">
        <f t="shared" si="4"/>
        <v>50</v>
      </c>
      <c r="I13" s="103"/>
      <c r="S13" s="45"/>
    </row>
    <row r="14" spans="1:28" x14ac:dyDescent="0.2">
      <c r="A14" s="102"/>
      <c r="B14" s="55"/>
      <c r="C14" s="11" t="s">
        <v>109</v>
      </c>
      <c r="D14" s="36">
        <v>9</v>
      </c>
      <c r="E14" s="36">
        <v>5</v>
      </c>
      <c r="F14" s="14">
        <v>1</v>
      </c>
      <c r="G14" s="2">
        <f t="shared" si="3"/>
        <v>7</v>
      </c>
      <c r="H14" s="9">
        <f t="shared" si="4"/>
        <v>28</v>
      </c>
      <c r="I14" s="103"/>
      <c r="S14" s="45"/>
    </row>
    <row r="15" spans="1:28" x14ac:dyDescent="0.2">
      <c r="A15" s="96" t="s">
        <v>122</v>
      </c>
      <c r="B15" s="46"/>
      <c r="C15" s="11" t="s">
        <v>102</v>
      </c>
      <c r="D15" s="36">
        <v>14</v>
      </c>
      <c r="E15" s="36">
        <v>12</v>
      </c>
      <c r="F15" s="14">
        <v>1</v>
      </c>
      <c r="G15" s="2">
        <f t="shared" si="3"/>
        <v>13</v>
      </c>
      <c r="H15" s="9">
        <f t="shared" si="4"/>
        <v>52</v>
      </c>
      <c r="I15" s="103">
        <f>TTEST(H15:H17,H3:H5,2,2)</f>
        <v>0.52691525129325179</v>
      </c>
      <c r="J15" s="1"/>
      <c r="K15" s="1"/>
      <c r="L15" s="1"/>
      <c r="M15" s="1"/>
      <c r="S15" s="45"/>
      <c r="U15" s="1"/>
      <c r="W15" s="1"/>
      <c r="X15" s="1"/>
      <c r="Y15" s="1"/>
      <c r="Z15" s="1"/>
      <c r="AA15" s="1"/>
      <c r="AB15" s="1"/>
    </row>
    <row r="16" spans="1:28" x14ac:dyDescent="0.2">
      <c r="A16" s="104"/>
      <c r="B16" s="52"/>
      <c r="C16" s="11" t="s">
        <v>103</v>
      </c>
      <c r="D16" s="36">
        <v>5</v>
      </c>
      <c r="E16" s="36">
        <v>23</v>
      </c>
      <c r="F16" s="14">
        <v>1</v>
      </c>
      <c r="G16" s="2">
        <f t="shared" si="3"/>
        <v>14</v>
      </c>
      <c r="H16" s="9">
        <f>(G16/(0.05*F16))*0.2</f>
        <v>56</v>
      </c>
      <c r="I16" s="103"/>
      <c r="S16" s="45"/>
    </row>
    <row r="17" spans="1:28" x14ac:dyDescent="0.2">
      <c r="A17" s="97"/>
      <c r="B17" s="47"/>
      <c r="C17" s="11" t="s">
        <v>110</v>
      </c>
      <c r="D17" s="36">
        <v>0</v>
      </c>
      <c r="E17" s="36">
        <v>0</v>
      </c>
      <c r="F17" s="14">
        <v>1</v>
      </c>
      <c r="G17" s="2">
        <f t="shared" si="3"/>
        <v>0</v>
      </c>
      <c r="H17" s="9">
        <f t="shared" ref="H17" si="5">(G17/(0.05*F17))*0.2</f>
        <v>0</v>
      </c>
      <c r="I17" s="103"/>
      <c r="S17" s="45"/>
    </row>
    <row r="18" spans="1:28" ht="15" customHeight="1" x14ac:dyDescent="0.2">
      <c r="A18" s="96" t="s">
        <v>123</v>
      </c>
      <c r="B18" s="46"/>
      <c r="C18" s="11" t="s">
        <v>104</v>
      </c>
      <c r="D18" s="36">
        <v>7</v>
      </c>
      <c r="E18" s="36">
        <v>3</v>
      </c>
      <c r="F18" s="14">
        <v>1</v>
      </c>
      <c r="G18" s="22">
        <f t="shared" ref="G18:G20" si="6">AVERAGE(D18,E18)</f>
        <v>5</v>
      </c>
      <c r="H18" s="9">
        <f>(G18/(0.05*F18))*0.2</f>
        <v>20</v>
      </c>
      <c r="I18" s="103">
        <f>TTEST(H18:H20,H18:H20,2,2)</f>
        <v>1</v>
      </c>
      <c r="S18" s="45"/>
    </row>
    <row r="19" spans="1:28" ht="15" customHeight="1" x14ac:dyDescent="0.2">
      <c r="A19" s="104"/>
      <c r="B19" s="52"/>
      <c r="C19" s="11" t="s">
        <v>105</v>
      </c>
      <c r="D19" s="36">
        <v>8</v>
      </c>
      <c r="E19" s="36">
        <v>13</v>
      </c>
      <c r="F19" s="14">
        <v>1</v>
      </c>
      <c r="G19" s="22">
        <f t="shared" si="6"/>
        <v>10.5</v>
      </c>
      <c r="H19" s="9">
        <f t="shared" ref="H19:H20" si="7">(G19/(0.05*F19))*0.2</f>
        <v>42</v>
      </c>
      <c r="I19" s="103"/>
      <c r="S19" s="45"/>
    </row>
    <row r="20" spans="1:28" x14ac:dyDescent="0.2">
      <c r="A20" s="97"/>
      <c r="B20" s="47"/>
      <c r="C20" s="11" t="s">
        <v>111</v>
      </c>
      <c r="D20" s="36">
        <v>4</v>
      </c>
      <c r="E20" s="36">
        <v>5</v>
      </c>
      <c r="F20" s="14">
        <v>1</v>
      </c>
      <c r="G20" s="22">
        <f t="shared" si="6"/>
        <v>4.5</v>
      </c>
      <c r="H20" s="9">
        <f t="shared" si="7"/>
        <v>18</v>
      </c>
      <c r="I20" s="103"/>
      <c r="S20" s="45"/>
    </row>
    <row r="21" spans="1:28" ht="15" customHeight="1" x14ac:dyDescent="0.2">
      <c r="A21" s="37" t="s">
        <v>95</v>
      </c>
      <c r="B21" s="37"/>
      <c r="I21" s="1"/>
      <c r="L21" s="51"/>
      <c r="M21" s="51"/>
      <c r="N21" s="44"/>
      <c r="O21" s="44"/>
      <c r="P21" s="56"/>
      <c r="Q21" s="58"/>
      <c r="R21" s="57"/>
      <c r="S21" s="45"/>
    </row>
    <row r="22" spans="1:28" x14ac:dyDescent="0.2">
      <c r="L22" s="59"/>
      <c r="M22" s="59"/>
      <c r="N22" s="44"/>
      <c r="O22" s="44"/>
      <c r="P22" s="56"/>
      <c r="Q22" s="58"/>
      <c r="R22" s="57"/>
      <c r="S22" s="45"/>
    </row>
    <row r="23" spans="1:28" ht="15" customHeight="1" x14ac:dyDescent="0.2">
      <c r="L23" s="51"/>
      <c r="M23" s="51"/>
      <c r="N23" s="44"/>
      <c r="O23" s="44"/>
      <c r="P23" s="56"/>
      <c r="Q23" s="58"/>
      <c r="R23" s="57"/>
      <c r="S23" s="45"/>
    </row>
    <row r="24" spans="1:28" ht="16" customHeight="1" x14ac:dyDescent="0.2">
      <c r="L24" s="51"/>
      <c r="M24" s="51"/>
      <c r="N24" s="44"/>
      <c r="O24" s="44"/>
      <c r="P24" s="56"/>
      <c r="Q24" s="58"/>
      <c r="R24" s="57"/>
      <c r="S24" s="45"/>
    </row>
    <row r="25" spans="1:28" ht="15" customHeight="1" x14ac:dyDescent="0.2">
      <c r="S25" s="45"/>
    </row>
    <row r="27" spans="1:28" ht="16" customHeight="1" x14ac:dyDescent="0.2">
      <c r="J27" s="1"/>
      <c r="K27" s="1"/>
      <c r="L27" s="1"/>
      <c r="M27" s="1"/>
      <c r="S27" s="56"/>
      <c r="U27" s="1"/>
      <c r="W27" s="1"/>
      <c r="X27" s="1"/>
      <c r="Y27" s="1"/>
      <c r="Z27" s="1"/>
      <c r="AA27" s="1"/>
      <c r="AB27" s="1"/>
    </row>
    <row r="28" spans="1:28" x14ac:dyDescent="0.2">
      <c r="S28" s="56"/>
    </row>
    <row r="29" spans="1:28" x14ac:dyDescent="0.2">
      <c r="S29" s="56"/>
    </row>
    <row r="30" spans="1:28" ht="15" customHeight="1" x14ac:dyDescent="0.2">
      <c r="S30" s="56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I18:I20"/>
    <mergeCell ref="A12:A14"/>
    <mergeCell ref="I12:I14"/>
    <mergeCell ref="A15:A17"/>
    <mergeCell ref="I15:I17"/>
    <mergeCell ref="A3:A5"/>
    <mergeCell ref="I3:I5"/>
    <mergeCell ref="A6:A8"/>
    <mergeCell ref="I6:I8"/>
    <mergeCell ref="A9:A11"/>
    <mergeCell ref="I9:I11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L41"/>
  <sheetViews>
    <sheetView tabSelected="1" showRuler="0" topLeftCell="J13" zoomScaleNormal="100" workbookViewId="0">
      <selection activeCell="O1" sqref="O1:U8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.1640625" bestFit="1" customWidth="1"/>
    <col min="6" max="6" width="6" customWidth="1"/>
    <col min="7" max="9" width="6.1640625" bestFit="1" customWidth="1"/>
    <col min="10" max="10" width="6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17" bestFit="1" customWidth="1"/>
    <col min="16" max="18" width="9" bestFit="1" customWidth="1"/>
    <col min="19" max="19" width="7.83203125" bestFit="1" customWidth="1"/>
    <col min="20" max="20" width="7.33203125" bestFit="1" customWidth="1"/>
    <col min="21" max="21" width="9.33203125" bestFit="1" customWidth="1"/>
  </cols>
  <sheetData>
    <row r="1" spans="1:38" x14ac:dyDescent="0.2">
      <c r="A1" s="4" t="s">
        <v>0</v>
      </c>
      <c r="B1" s="4"/>
      <c r="C1" s="105" t="s">
        <v>96</v>
      </c>
      <c r="D1" s="105"/>
      <c r="E1" s="105"/>
      <c r="F1" s="34"/>
      <c r="G1" s="105" t="s">
        <v>97</v>
      </c>
      <c r="H1" s="105"/>
      <c r="I1" s="105"/>
      <c r="J1" s="26"/>
      <c r="O1" s="89" t="s">
        <v>113</v>
      </c>
      <c r="P1" s="89"/>
      <c r="Q1" s="89"/>
      <c r="R1" s="89"/>
      <c r="S1" s="89"/>
      <c r="T1" s="89"/>
      <c r="U1" s="89"/>
      <c r="W1" s="89" t="s">
        <v>114</v>
      </c>
      <c r="X1" s="89"/>
      <c r="Y1" s="89"/>
      <c r="Z1" s="89"/>
      <c r="AA1" s="89"/>
      <c r="AB1" s="89"/>
      <c r="AC1" s="89"/>
    </row>
    <row r="2" spans="1:38" ht="51" x14ac:dyDescent="0.2">
      <c r="A2" s="25"/>
      <c r="B2" s="25" t="s">
        <v>81</v>
      </c>
      <c r="C2" s="25">
        <v>1</v>
      </c>
      <c r="D2" s="25">
        <v>2</v>
      </c>
      <c r="E2" s="28">
        <v>3</v>
      </c>
      <c r="F2" s="28">
        <v>4</v>
      </c>
      <c r="G2" s="25">
        <v>1</v>
      </c>
      <c r="H2" s="25">
        <v>2</v>
      </c>
      <c r="I2" s="28">
        <v>3</v>
      </c>
      <c r="J2" s="28">
        <v>4</v>
      </c>
      <c r="K2" s="35" t="s">
        <v>67</v>
      </c>
      <c r="L2" s="29" t="s">
        <v>84</v>
      </c>
      <c r="M2" s="29" t="s">
        <v>85</v>
      </c>
      <c r="N2" s="38"/>
      <c r="O2" s="2"/>
      <c r="P2" s="25" t="s">
        <v>108</v>
      </c>
      <c r="Q2" s="29" t="s">
        <v>87</v>
      </c>
      <c r="R2" s="25" t="s">
        <v>88</v>
      </c>
      <c r="S2" s="35" t="s">
        <v>89</v>
      </c>
      <c r="T2" s="30" t="s">
        <v>98</v>
      </c>
      <c r="U2" s="30" t="s">
        <v>90</v>
      </c>
      <c r="W2" s="2"/>
      <c r="X2" s="25" t="s">
        <v>108</v>
      </c>
      <c r="Y2" s="29" t="s">
        <v>87</v>
      </c>
      <c r="Z2" s="25" t="s">
        <v>88</v>
      </c>
      <c r="AA2" s="35" t="s">
        <v>89</v>
      </c>
      <c r="AB2" s="30" t="s">
        <v>86</v>
      </c>
      <c r="AC2" s="30" t="s">
        <v>90</v>
      </c>
      <c r="AI2" s="2"/>
      <c r="AJ2" s="25" t="s">
        <v>108</v>
      </c>
      <c r="AK2" s="29" t="s">
        <v>115</v>
      </c>
      <c r="AL2" s="25" t="s">
        <v>88</v>
      </c>
    </row>
    <row r="3" spans="1:38" ht="17" x14ac:dyDescent="0.2">
      <c r="A3" s="100" t="s">
        <v>3</v>
      </c>
      <c r="B3" s="11" t="s">
        <v>73</v>
      </c>
      <c r="C3" s="14" t="s">
        <v>74</v>
      </c>
      <c r="D3" s="36">
        <v>149</v>
      </c>
      <c r="E3" s="36"/>
      <c r="F3" s="36"/>
      <c r="G3" s="14" t="s">
        <v>74</v>
      </c>
      <c r="H3" s="36">
        <v>128</v>
      </c>
      <c r="I3" s="36"/>
      <c r="J3" s="36"/>
      <c r="K3" s="14">
        <v>0.1</v>
      </c>
      <c r="L3" s="22">
        <f>AVERAGE(D3,H3)</f>
        <v>138.5</v>
      </c>
      <c r="M3" s="9">
        <f>(L3/(0.01*K3))*0.2</f>
        <v>27700</v>
      </c>
      <c r="N3" s="1"/>
      <c r="O3" s="6" t="s">
        <v>3</v>
      </c>
      <c r="P3" s="31" t="s">
        <v>94</v>
      </c>
      <c r="Q3" s="9">
        <f>AVERAGE(M3:M5)</f>
        <v>31566.666666666668</v>
      </c>
      <c r="R3" s="9">
        <f>STDEV(M3:M5)</f>
        <v>4843.8965031607822</v>
      </c>
      <c r="S3" s="13">
        <v>2.4465811965811968</v>
      </c>
      <c r="T3" s="2"/>
      <c r="U3" s="23">
        <f>IF(Q3/$Q$3&gt;=1,Q3/$Q$3,-$Q$3/Q3)</f>
        <v>1</v>
      </c>
      <c r="W3" s="6" t="s">
        <v>3</v>
      </c>
      <c r="X3" s="31" t="s">
        <v>94</v>
      </c>
      <c r="Y3" s="9">
        <v>53.333333333333336</v>
      </c>
      <c r="Z3" s="9">
        <v>30.088757590391349</v>
      </c>
      <c r="AA3" s="13">
        <v>2.4465811965811968</v>
      </c>
      <c r="AB3" s="23" t="s">
        <v>94</v>
      </c>
      <c r="AC3" s="23">
        <v>1</v>
      </c>
      <c r="AI3" s="6" t="s">
        <v>3</v>
      </c>
      <c r="AJ3" s="31" t="s">
        <v>94</v>
      </c>
      <c r="AK3" s="9">
        <f>Q3/Y3</f>
        <v>591.875</v>
      </c>
      <c r="AL3" s="9">
        <f>AK3*(SQRT((R3/Q3)^2)+(Z3/Y3)^2)</f>
        <v>279.20577427801453</v>
      </c>
    </row>
    <row r="4" spans="1:38" ht="17" x14ac:dyDescent="0.2">
      <c r="A4" s="101"/>
      <c r="B4" s="11" t="s">
        <v>75</v>
      </c>
      <c r="C4" s="14" t="s">
        <v>74</v>
      </c>
      <c r="D4" s="14" t="s">
        <v>74</v>
      </c>
      <c r="E4" s="36">
        <v>14</v>
      </c>
      <c r="F4" s="36"/>
      <c r="G4" s="14" t="s">
        <v>74</v>
      </c>
      <c r="H4" s="14" t="s">
        <v>74</v>
      </c>
      <c r="I4" s="36">
        <v>16</v>
      </c>
      <c r="J4" s="36"/>
      <c r="K4" s="14">
        <v>0.01</v>
      </c>
      <c r="L4" s="22">
        <f>AVERAGE(E4,I4)</f>
        <v>15</v>
      </c>
      <c r="M4" s="9">
        <f>(L4/(0.01*K4))*0.2</f>
        <v>30000</v>
      </c>
      <c r="N4" s="1"/>
      <c r="O4" s="6" t="s">
        <v>116</v>
      </c>
      <c r="P4" s="31" t="s">
        <v>94</v>
      </c>
      <c r="Q4" s="9">
        <f>AVERAGE(M6:M8)</f>
        <v>0</v>
      </c>
      <c r="R4" s="9">
        <f>STDEV(M6:M8)</f>
        <v>0</v>
      </c>
      <c r="S4" s="13">
        <v>2.7136752136752138</v>
      </c>
      <c r="T4" s="18">
        <f>TTEST(M3:M5,M6:M8,2,2)</f>
        <v>3.510615495276725E-4</v>
      </c>
      <c r="U4" s="23" t="e">
        <f>IF(Q4/$Q$3&gt;=1,Q4/$Q$3,-$Q$3/Q4)</f>
        <v>#DIV/0!</v>
      </c>
      <c r="W4" s="6" t="s">
        <v>116</v>
      </c>
      <c r="X4" s="31" t="s">
        <v>94</v>
      </c>
      <c r="Y4" s="9">
        <v>24</v>
      </c>
      <c r="Z4" s="9">
        <v>10.392304845413264</v>
      </c>
      <c r="AA4" s="13">
        <v>2.7136752136752138</v>
      </c>
      <c r="AB4" s="87">
        <v>0.18571181162873476</v>
      </c>
      <c r="AC4" s="23">
        <v>-2.2222222222222223</v>
      </c>
      <c r="AI4" s="6" t="s">
        <v>116</v>
      </c>
      <c r="AJ4" s="31" t="s">
        <v>94</v>
      </c>
      <c r="AK4" s="9">
        <f t="shared" ref="AK4:AK5" si="0">Q4/Y4</f>
        <v>0</v>
      </c>
      <c r="AL4" s="9" t="e">
        <f t="shared" ref="AL4:AL5" si="1">AK4*(SQRT((R4/Q4)^2)+(Z4/Y4)^2)</f>
        <v>#DIV/0!</v>
      </c>
    </row>
    <row r="5" spans="1:38" ht="17" x14ac:dyDescent="0.2">
      <c r="A5" s="102"/>
      <c r="B5" s="11" t="s">
        <v>91</v>
      </c>
      <c r="C5" s="14" t="s">
        <v>74</v>
      </c>
      <c r="D5" s="14" t="s">
        <v>74</v>
      </c>
      <c r="E5" s="36">
        <v>14</v>
      </c>
      <c r="F5" s="36"/>
      <c r="G5" s="14" t="s">
        <v>74</v>
      </c>
      <c r="H5" s="14" t="s">
        <v>74</v>
      </c>
      <c r="I5" s="36">
        <v>23</v>
      </c>
      <c r="J5" s="36"/>
      <c r="K5" s="14">
        <v>0.01</v>
      </c>
      <c r="L5" s="22">
        <f>AVERAGE(E5,I5)</f>
        <v>18.5</v>
      </c>
      <c r="M5" s="9">
        <f t="shared" ref="M5:M11" si="2">(L5/(0.01*K5))*0.2</f>
        <v>37000</v>
      </c>
      <c r="N5" s="1"/>
      <c r="O5" s="6" t="s">
        <v>4</v>
      </c>
      <c r="P5" s="31" t="s">
        <v>94</v>
      </c>
      <c r="Q5" s="9">
        <f>AVERAGE(M9:M11)</f>
        <v>23.333333333333332</v>
      </c>
      <c r="R5" s="9">
        <f>STDEV(M9:M11)</f>
        <v>15.275252316519468</v>
      </c>
      <c r="S5" s="13">
        <v>3.6217948717948718</v>
      </c>
      <c r="T5" s="18">
        <f>TTEST(M3:M5,M9:M11,2,2)</f>
        <v>3.5208181032403597E-4</v>
      </c>
      <c r="U5" s="23">
        <f>IF(Q5/$Q$3&gt;=1,Q5/$Q$3,-$Q$3/Q5)</f>
        <v>-1352.8571428571429</v>
      </c>
      <c r="W5" s="6" t="s">
        <v>4</v>
      </c>
      <c r="X5" s="31" t="s">
        <v>94</v>
      </c>
      <c r="Y5" s="9">
        <v>53.333333333333336</v>
      </c>
      <c r="Z5" s="9">
        <v>9.8657657246324799</v>
      </c>
      <c r="AA5" s="13">
        <v>3.6217948717948718</v>
      </c>
      <c r="AB5" s="87">
        <v>1</v>
      </c>
      <c r="AC5" s="23">
        <v>1</v>
      </c>
      <c r="AI5" s="6" t="s">
        <v>4</v>
      </c>
      <c r="AJ5" s="31" t="s">
        <v>94</v>
      </c>
      <c r="AK5" s="9">
        <f t="shared" si="0"/>
        <v>0.43749999999999994</v>
      </c>
      <c r="AL5" s="9">
        <f t="shared" si="1"/>
        <v>0.30138168405973992</v>
      </c>
    </row>
    <row r="6" spans="1:38" ht="17" x14ac:dyDescent="0.2">
      <c r="A6" s="96" t="s">
        <v>116</v>
      </c>
      <c r="B6" s="11" t="s">
        <v>76</v>
      </c>
      <c r="C6" s="36">
        <v>0</v>
      </c>
      <c r="D6" s="14"/>
      <c r="E6" s="36"/>
      <c r="F6" s="36"/>
      <c r="G6" s="36">
        <v>0</v>
      </c>
      <c r="H6" s="14"/>
      <c r="I6" s="36"/>
      <c r="J6" s="36"/>
      <c r="K6" s="14">
        <v>1</v>
      </c>
      <c r="L6" s="22">
        <f>AVERAGE(C6,G6)</f>
        <v>0</v>
      </c>
      <c r="M6" s="9">
        <f>(L6/(0.05*K6))*0.2</f>
        <v>0</v>
      </c>
      <c r="N6" s="1"/>
      <c r="O6" s="60" t="s">
        <v>3</v>
      </c>
      <c r="P6" s="60" t="s">
        <v>107</v>
      </c>
      <c r="Q6" s="9">
        <f>AVERAGE(M12:M14)</f>
        <v>61333.333333333336</v>
      </c>
      <c r="R6" s="9">
        <f>STDEV(M12:M14)</f>
        <v>13012.814197295411</v>
      </c>
      <c r="S6" s="13">
        <v>2.8205128205128207</v>
      </c>
      <c r="T6" s="18">
        <f>TTEST(M3:M5,M12:M14,2,2)</f>
        <v>2.0597505974507966E-2</v>
      </c>
      <c r="U6" s="23">
        <f t="shared" ref="U6:U8" si="3">IF(Q6/$Q$3&gt;=1,Q6/$Q$3,-$Q$3/Q6)</f>
        <v>1.9429778247096092</v>
      </c>
      <c r="W6" s="6" t="s">
        <v>3</v>
      </c>
      <c r="X6" s="60" t="s">
        <v>107</v>
      </c>
      <c r="Y6" s="9">
        <v>35.333333333333336</v>
      </c>
      <c r="Z6" s="9">
        <v>12.701705922171763</v>
      </c>
      <c r="AA6" s="13">
        <v>2.8205128205128207</v>
      </c>
      <c r="AB6" s="87">
        <v>0.39383994886216334</v>
      </c>
      <c r="AC6" s="23">
        <v>-1.5094339622641508</v>
      </c>
      <c r="AI6" s="6" t="s">
        <v>3</v>
      </c>
      <c r="AJ6" s="60" t="s">
        <v>107</v>
      </c>
      <c r="AK6" s="9">
        <f>Q6/Y6</f>
        <v>1735.8490566037735</v>
      </c>
      <c r="AL6" s="9">
        <f>AK6*(SQRT((R6/Q6)^2)+(Z6/Y6)^2)</f>
        <v>592.60659887225142</v>
      </c>
    </row>
    <row r="7" spans="1:38" ht="15" customHeight="1" x14ac:dyDescent="0.2">
      <c r="A7" s="104"/>
      <c r="B7" s="11" t="s">
        <v>77</v>
      </c>
      <c r="C7" s="36">
        <v>0</v>
      </c>
      <c r="D7" s="14"/>
      <c r="E7" s="36"/>
      <c r="F7" s="36"/>
      <c r="G7" s="36">
        <v>0</v>
      </c>
      <c r="H7" s="14"/>
      <c r="I7" s="36"/>
      <c r="J7" s="36"/>
      <c r="K7" s="14">
        <v>1</v>
      </c>
      <c r="L7" s="22">
        <f>AVERAGE(C7,G7)</f>
        <v>0</v>
      </c>
      <c r="M7" s="9">
        <f>(L7/(0.05*K7))*0.2</f>
        <v>0</v>
      </c>
      <c r="N7" s="1"/>
      <c r="O7" s="6" t="s">
        <v>116</v>
      </c>
      <c r="P7" s="31" t="s">
        <v>107</v>
      </c>
      <c r="Q7" s="9">
        <f>AVERAGE(M15:M17)</f>
        <v>0</v>
      </c>
      <c r="R7" s="9">
        <f>STDEV(M15:M17)</f>
        <v>0</v>
      </c>
      <c r="S7" s="13">
        <v>2.841880341880342</v>
      </c>
      <c r="T7" s="18">
        <f>TTEST(M3:M5,M15:M17,2,2)</f>
        <v>3.510615495276725E-4</v>
      </c>
      <c r="U7" s="23" t="e">
        <f>IF(Q7/$Q$3&gt;=1,Q7/$Q$3,-$Q$3/Q7)</f>
        <v>#DIV/0!</v>
      </c>
      <c r="W7" s="6" t="s">
        <v>116</v>
      </c>
      <c r="X7" s="31" t="s">
        <v>107</v>
      </c>
      <c r="Y7" s="9">
        <v>36</v>
      </c>
      <c r="Z7" s="9">
        <v>31.240998703626616</v>
      </c>
      <c r="AA7" s="13">
        <v>2.841880341880342</v>
      </c>
      <c r="AB7" s="87">
        <v>0.52691525129325179</v>
      </c>
      <c r="AC7" s="23">
        <v>-1.4814814814814816</v>
      </c>
      <c r="AI7" s="6" t="s">
        <v>116</v>
      </c>
      <c r="AJ7" s="31" t="s">
        <v>107</v>
      </c>
      <c r="AK7" s="9">
        <f>Q7/Y7</f>
        <v>0</v>
      </c>
      <c r="AL7" s="9" t="e">
        <f>AK7*(SQRT((R7/Q7)^2)+(Z7/Y7)^2)</f>
        <v>#DIV/0!</v>
      </c>
    </row>
    <row r="8" spans="1:38" ht="15" customHeight="1" x14ac:dyDescent="0.2">
      <c r="A8" s="97"/>
      <c r="B8" s="11" t="s">
        <v>92</v>
      </c>
      <c r="C8" s="36">
        <v>0</v>
      </c>
      <c r="D8" s="14"/>
      <c r="E8" s="36"/>
      <c r="F8" s="36"/>
      <c r="G8" s="36">
        <v>0</v>
      </c>
      <c r="H8" s="14"/>
      <c r="I8" s="36"/>
      <c r="J8" s="36"/>
      <c r="K8" s="14">
        <v>1</v>
      </c>
      <c r="L8" s="22">
        <f>AVERAGE(C8,G8)</f>
        <v>0</v>
      </c>
      <c r="M8" s="9">
        <f t="shared" ref="M8" si="4">(L8/(0.05*K8))*0.2</f>
        <v>0</v>
      </c>
      <c r="N8" s="1"/>
      <c r="O8" s="6" t="s">
        <v>4</v>
      </c>
      <c r="P8" s="31" t="s">
        <v>107</v>
      </c>
      <c r="Q8" s="9">
        <f>AVERAGE(M18:M20)</f>
        <v>95666.666666666672</v>
      </c>
      <c r="R8" s="9">
        <f>STDEV(M18:M20)</f>
        <v>22501.851775650244</v>
      </c>
      <c r="S8" s="13">
        <v>3.6324786324786325</v>
      </c>
      <c r="T8" s="18">
        <f>TTEST(M3:M5,M18:M20,2,2)</f>
        <v>8.5012287041458332E-3</v>
      </c>
      <c r="U8" s="23">
        <f t="shared" si="3"/>
        <v>3.0306230200633579</v>
      </c>
      <c r="W8" s="6" t="s">
        <v>4</v>
      </c>
      <c r="X8" s="31" t="s">
        <v>107</v>
      </c>
      <c r="Y8" s="9">
        <v>26.666666666666668</v>
      </c>
      <c r="Z8" s="9">
        <v>13.316656236958783</v>
      </c>
      <c r="AA8" s="13">
        <v>3.6324786324786325</v>
      </c>
      <c r="AB8" s="87">
        <v>0.23307201880571973</v>
      </c>
      <c r="AC8" s="23">
        <v>-2</v>
      </c>
      <c r="AI8" s="6" t="s">
        <v>4</v>
      </c>
      <c r="AJ8" s="31" t="s">
        <v>107</v>
      </c>
      <c r="AK8" s="9">
        <f>Q8/Y8</f>
        <v>3587.5</v>
      </c>
      <c r="AL8" s="9">
        <f>AK8*(SQRT((R8/Q8)^2)+(Z8/Y8)^2)</f>
        <v>1738.4522540868836</v>
      </c>
    </row>
    <row r="9" spans="1:38" ht="15" customHeight="1" x14ac:dyDescent="0.2">
      <c r="A9" s="96" t="s">
        <v>112</v>
      </c>
      <c r="B9" s="11" t="s">
        <v>78</v>
      </c>
      <c r="C9" s="36">
        <v>8</v>
      </c>
      <c r="D9" s="36"/>
      <c r="E9" s="14"/>
      <c r="F9" s="14"/>
      <c r="G9" s="36">
        <v>2</v>
      </c>
      <c r="H9" s="36"/>
      <c r="I9" s="14"/>
      <c r="J9" s="14"/>
      <c r="K9" s="14">
        <v>1</v>
      </c>
      <c r="L9" s="2">
        <f>AVERAGE(C9,G9)</f>
        <v>5</v>
      </c>
      <c r="M9" s="9">
        <f>(L9/(0.05*K9))*0.2</f>
        <v>20</v>
      </c>
      <c r="N9" s="1"/>
      <c r="O9" s="51"/>
      <c r="P9" s="51"/>
      <c r="Q9" s="44"/>
      <c r="R9" s="44"/>
      <c r="S9" s="56"/>
      <c r="T9" s="56"/>
      <c r="U9" s="57"/>
    </row>
    <row r="10" spans="1:38" x14ac:dyDescent="0.2">
      <c r="A10" s="104"/>
      <c r="B10" s="11" t="s">
        <v>79</v>
      </c>
      <c r="C10" s="36">
        <v>2</v>
      </c>
      <c r="D10" s="36"/>
      <c r="E10" s="14"/>
      <c r="F10" s="14"/>
      <c r="G10" s="36">
        <v>6</v>
      </c>
      <c r="H10" s="36"/>
      <c r="I10" s="14"/>
      <c r="J10" s="14"/>
      <c r="K10" s="14">
        <v>2</v>
      </c>
      <c r="L10" s="2">
        <f t="shared" ref="L10:L11" si="5">AVERAGE(C10,G10)</f>
        <v>4</v>
      </c>
      <c r="M10" s="9">
        <f t="shared" si="2"/>
        <v>40</v>
      </c>
      <c r="N10" s="1"/>
      <c r="O10" s="51"/>
      <c r="P10" s="51"/>
      <c r="Q10" s="44"/>
      <c r="R10" s="44"/>
      <c r="S10" s="56"/>
      <c r="T10" s="58"/>
      <c r="U10" s="57"/>
    </row>
    <row r="11" spans="1:38" ht="15" customHeight="1" x14ac:dyDescent="0.2">
      <c r="A11" s="97"/>
      <c r="B11" s="11" t="s">
        <v>93</v>
      </c>
      <c r="C11" s="36">
        <v>0</v>
      </c>
      <c r="D11" s="36"/>
      <c r="E11" s="14"/>
      <c r="F11" s="14"/>
      <c r="G11" s="36">
        <v>3</v>
      </c>
      <c r="H11" s="36"/>
      <c r="I11" s="14"/>
      <c r="J11" s="14"/>
      <c r="K11" s="14">
        <v>3</v>
      </c>
      <c r="L11" s="2">
        <f t="shared" si="5"/>
        <v>1.5</v>
      </c>
      <c r="M11" s="9">
        <f t="shared" si="2"/>
        <v>10</v>
      </c>
      <c r="N11" s="1"/>
      <c r="O11" s="51"/>
      <c r="P11" s="51"/>
      <c r="Q11" s="44"/>
      <c r="R11" s="44"/>
      <c r="S11" s="56"/>
      <c r="T11" s="58"/>
      <c r="U11" s="57"/>
    </row>
    <row r="12" spans="1:38" ht="16" customHeight="1" x14ac:dyDescent="0.2">
      <c r="A12" s="100" t="s">
        <v>3</v>
      </c>
      <c r="B12" s="11" t="s">
        <v>100</v>
      </c>
      <c r="C12" s="14" t="s">
        <v>74</v>
      </c>
      <c r="D12" s="80" t="s">
        <v>74</v>
      </c>
      <c r="E12" s="36">
        <v>31</v>
      </c>
      <c r="F12" s="14"/>
      <c r="G12" s="14" t="s">
        <v>74</v>
      </c>
      <c r="H12" s="80" t="s">
        <v>74</v>
      </c>
      <c r="I12" s="36">
        <v>43</v>
      </c>
      <c r="J12" s="14"/>
      <c r="K12" s="14">
        <v>0.01</v>
      </c>
      <c r="L12" s="22">
        <f>AVERAGE(E12,I12)</f>
        <v>37</v>
      </c>
      <c r="M12" s="9">
        <f t="shared" ref="M12:M14" si="6">(L12/(0.01*K12))*0.2</f>
        <v>74000</v>
      </c>
      <c r="N12" s="1"/>
      <c r="O12" s="51"/>
      <c r="P12" s="51"/>
      <c r="Q12" s="44"/>
      <c r="R12" s="44"/>
      <c r="S12" s="56"/>
      <c r="T12" s="58"/>
      <c r="U12" s="57"/>
      <c r="W12" s="1"/>
    </row>
    <row r="13" spans="1:38" ht="15" customHeight="1" x14ac:dyDescent="0.2">
      <c r="A13" s="101"/>
      <c r="B13" s="11" t="s">
        <v>101</v>
      </c>
      <c r="C13" s="14" t="s">
        <v>74</v>
      </c>
      <c r="D13" s="80" t="s">
        <v>74</v>
      </c>
      <c r="E13" s="36">
        <v>31</v>
      </c>
      <c r="F13" s="14"/>
      <c r="G13" s="14" t="s">
        <v>74</v>
      </c>
      <c r="H13" s="80" t="s">
        <v>74</v>
      </c>
      <c r="I13" s="36">
        <v>31</v>
      </c>
      <c r="J13" s="14"/>
      <c r="K13" s="14">
        <v>0.01</v>
      </c>
      <c r="L13" s="22">
        <f>AVERAGE(E13,I13)</f>
        <v>31</v>
      </c>
      <c r="M13" s="9">
        <f t="shared" si="6"/>
        <v>62000</v>
      </c>
      <c r="N13" s="1"/>
      <c r="O13" s="56"/>
      <c r="P13" s="56"/>
      <c r="Q13" s="56"/>
      <c r="R13" s="56"/>
      <c r="S13" s="56"/>
      <c r="T13" s="56"/>
      <c r="U13" s="56"/>
    </row>
    <row r="14" spans="1:38" x14ac:dyDescent="0.2">
      <c r="A14" s="102"/>
      <c r="B14" s="11" t="s">
        <v>109</v>
      </c>
      <c r="C14" s="14" t="s">
        <v>74</v>
      </c>
      <c r="D14" s="80" t="s">
        <v>74</v>
      </c>
      <c r="E14" s="36">
        <v>23</v>
      </c>
      <c r="F14" s="14"/>
      <c r="G14" s="14" t="s">
        <v>74</v>
      </c>
      <c r="H14" s="80" t="s">
        <v>74</v>
      </c>
      <c r="I14" s="36">
        <v>25</v>
      </c>
      <c r="J14" s="14"/>
      <c r="K14" s="14">
        <v>0.01</v>
      </c>
      <c r="L14" s="22">
        <f>AVERAGE(E14,I14)</f>
        <v>24</v>
      </c>
      <c r="M14" s="9">
        <f t="shared" si="6"/>
        <v>48000</v>
      </c>
      <c r="N14" s="1"/>
      <c r="O14" s="56"/>
      <c r="P14" s="56"/>
      <c r="Q14" s="56"/>
      <c r="R14" s="56"/>
      <c r="S14" s="56"/>
      <c r="T14" s="56"/>
      <c r="U14" s="56"/>
    </row>
    <row r="15" spans="1:38" ht="16" customHeight="1" x14ac:dyDescent="0.2">
      <c r="A15" s="96" t="s">
        <v>116</v>
      </c>
      <c r="B15" s="11" t="s">
        <v>102</v>
      </c>
      <c r="C15" s="36">
        <v>0</v>
      </c>
      <c r="D15" s="14"/>
      <c r="E15" s="36"/>
      <c r="F15" s="36"/>
      <c r="G15" s="39">
        <v>0</v>
      </c>
      <c r="H15" s="14"/>
      <c r="I15" s="36"/>
      <c r="J15" s="36"/>
      <c r="K15" s="14">
        <v>1</v>
      </c>
      <c r="L15" s="2">
        <f>AVERAGE(C15,G15)</f>
        <v>0</v>
      </c>
      <c r="M15" s="9">
        <f>(L15/(0.01*K15))*0.2</f>
        <v>0</v>
      </c>
      <c r="N15" s="1"/>
      <c r="O15" s="56"/>
      <c r="P15" s="56"/>
      <c r="Q15" s="56"/>
      <c r="R15" s="56"/>
      <c r="S15" s="56"/>
      <c r="T15" s="56"/>
      <c r="U15" s="56"/>
    </row>
    <row r="16" spans="1:38" x14ac:dyDescent="0.2">
      <c r="A16" s="104"/>
      <c r="B16" s="11" t="s">
        <v>103</v>
      </c>
      <c r="C16" s="36">
        <v>0</v>
      </c>
      <c r="D16" s="14"/>
      <c r="E16" s="36"/>
      <c r="F16" s="36"/>
      <c r="G16" s="36">
        <v>0</v>
      </c>
      <c r="H16" s="14"/>
      <c r="I16" s="36"/>
      <c r="J16" s="36"/>
      <c r="K16" s="14">
        <v>1</v>
      </c>
      <c r="L16" s="2">
        <f>AVERAGE(C16,G16)</f>
        <v>0</v>
      </c>
      <c r="M16" s="9">
        <f>(L16/(0.01*K16))*0.2</f>
        <v>0</v>
      </c>
      <c r="N16" s="1"/>
      <c r="O16" s="56"/>
      <c r="P16" s="56"/>
      <c r="Q16" s="56"/>
      <c r="R16" s="56"/>
      <c r="S16" s="56"/>
      <c r="T16" s="56"/>
      <c r="U16" s="56"/>
    </row>
    <row r="17" spans="1:23" x14ac:dyDescent="0.2">
      <c r="A17" s="97"/>
      <c r="B17" s="11" t="s">
        <v>110</v>
      </c>
      <c r="C17" s="36">
        <v>0</v>
      </c>
      <c r="D17" s="36"/>
      <c r="E17" s="36"/>
      <c r="F17" s="36"/>
      <c r="G17" s="36">
        <v>0</v>
      </c>
      <c r="H17" s="36"/>
      <c r="I17" s="36"/>
      <c r="J17" s="36"/>
      <c r="K17" s="14">
        <v>1</v>
      </c>
      <c r="L17" s="2">
        <f>AVERAGE(C17,G17)</f>
        <v>0</v>
      </c>
      <c r="M17" s="9">
        <f>(L17/(0.01*K17))*0.2</f>
        <v>0</v>
      </c>
      <c r="N17" s="1"/>
      <c r="O17" s="56"/>
      <c r="P17" s="56"/>
      <c r="Q17" s="56"/>
      <c r="R17" s="56"/>
      <c r="S17" s="56"/>
      <c r="T17" s="56"/>
      <c r="U17" s="56"/>
    </row>
    <row r="18" spans="1:23" ht="16" customHeight="1" x14ac:dyDescent="0.2">
      <c r="A18" s="96" t="s">
        <v>4</v>
      </c>
      <c r="B18" s="11" t="s">
        <v>104</v>
      </c>
      <c r="C18" s="14" t="s">
        <v>74</v>
      </c>
      <c r="D18" s="14" t="s">
        <v>74</v>
      </c>
      <c r="E18" s="36">
        <v>47</v>
      </c>
      <c r="F18" s="36"/>
      <c r="G18" s="14" t="s">
        <v>74</v>
      </c>
      <c r="H18" s="14" t="s">
        <v>74</v>
      </c>
      <c r="I18" s="36">
        <v>41</v>
      </c>
      <c r="J18" s="36"/>
      <c r="K18" s="14">
        <v>0.01</v>
      </c>
      <c r="L18" s="22">
        <f>AVERAGE(E18,I18)</f>
        <v>44</v>
      </c>
      <c r="M18" s="9">
        <f t="shared" ref="M18:M20" si="7">(L18/(0.01*K18))*0.2</f>
        <v>88000</v>
      </c>
      <c r="N18" s="1"/>
      <c r="O18" s="56"/>
      <c r="P18" s="56"/>
      <c r="Q18" s="56"/>
      <c r="R18" s="56"/>
      <c r="S18" s="56"/>
      <c r="T18" s="56"/>
      <c r="U18" s="56"/>
    </row>
    <row r="19" spans="1:23" ht="15" customHeight="1" x14ac:dyDescent="0.2">
      <c r="A19" s="104"/>
      <c r="B19" s="11" t="s">
        <v>105</v>
      </c>
      <c r="C19" s="14" t="s">
        <v>74</v>
      </c>
      <c r="D19" s="14" t="s">
        <v>74</v>
      </c>
      <c r="E19" s="36">
        <v>86</v>
      </c>
      <c r="F19" s="36"/>
      <c r="G19" s="14" t="s">
        <v>74</v>
      </c>
      <c r="H19" s="14" t="s">
        <v>74</v>
      </c>
      <c r="I19" s="36">
        <v>35</v>
      </c>
      <c r="J19" s="36"/>
      <c r="K19" s="14">
        <v>0.01</v>
      </c>
      <c r="L19" s="22">
        <f>AVERAGE(E19,I19)</f>
        <v>60.5</v>
      </c>
      <c r="M19" s="9">
        <f t="shared" si="7"/>
        <v>121000</v>
      </c>
      <c r="N19" s="1"/>
      <c r="O19" s="56"/>
      <c r="P19" s="56"/>
      <c r="Q19" s="56"/>
      <c r="R19" s="56"/>
      <c r="S19" s="56"/>
      <c r="T19" s="56"/>
      <c r="U19" s="56"/>
    </row>
    <row r="20" spans="1:23" ht="15" customHeight="1" x14ac:dyDescent="0.2">
      <c r="A20" s="97"/>
      <c r="B20" s="11" t="s">
        <v>111</v>
      </c>
      <c r="C20" s="14" t="s">
        <v>74</v>
      </c>
      <c r="D20" s="14" t="s">
        <v>74</v>
      </c>
      <c r="E20" s="36">
        <v>32</v>
      </c>
      <c r="F20" s="36"/>
      <c r="G20" s="14" t="s">
        <v>74</v>
      </c>
      <c r="H20" s="14" t="s">
        <v>74</v>
      </c>
      <c r="I20" s="36">
        <v>46</v>
      </c>
      <c r="J20" s="36"/>
      <c r="K20" s="14">
        <v>0.01</v>
      </c>
      <c r="L20" s="22">
        <f>AVERAGE(E20,I20)</f>
        <v>39</v>
      </c>
      <c r="M20" s="9">
        <f t="shared" si="7"/>
        <v>78000</v>
      </c>
      <c r="N20" s="1"/>
      <c r="O20" s="56"/>
      <c r="P20" s="56"/>
      <c r="Q20" s="56"/>
      <c r="R20" s="56"/>
      <c r="S20" s="56"/>
      <c r="T20" s="56"/>
      <c r="U20" s="56"/>
    </row>
    <row r="21" spans="1:23" ht="15" customHeight="1" x14ac:dyDescent="0.2">
      <c r="A21" s="2" t="s">
        <v>80</v>
      </c>
      <c r="B21" s="2"/>
      <c r="C21" s="2">
        <v>1</v>
      </c>
      <c r="D21" s="2">
        <f>C21/10</f>
        <v>0.1</v>
      </c>
      <c r="E21" s="2">
        <f>D21/10</f>
        <v>0.01</v>
      </c>
      <c r="F21" s="2">
        <v>1E-3</v>
      </c>
      <c r="G21" s="2">
        <v>1</v>
      </c>
      <c r="H21" s="2">
        <f>G21/10</f>
        <v>0.1</v>
      </c>
      <c r="I21" s="2">
        <f>H21/10</f>
        <v>0.01</v>
      </c>
      <c r="J21">
        <v>1E-3</v>
      </c>
      <c r="M21" s="1"/>
      <c r="N21" s="1"/>
      <c r="O21" s="51"/>
      <c r="P21" s="51"/>
      <c r="Q21" s="44"/>
      <c r="R21" s="44"/>
      <c r="S21" s="56"/>
      <c r="T21" s="56"/>
      <c r="U21" s="57"/>
    </row>
    <row r="22" spans="1:23" x14ac:dyDescent="0.2">
      <c r="A22" s="106" t="s">
        <v>99</v>
      </c>
      <c r="B22" s="106"/>
      <c r="C22" s="106"/>
      <c r="N22" s="1"/>
      <c r="O22" s="51"/>
      <c r="P22" s="51"/>
      <c r="Q22" s="44"/>
      <c r="R22" s="44"/>
      <c r="S22" s="56"/>
      <c r="T22" s="58"/>
      <c r="U22" s="57"/>
    </row>
    <row r="23" spans="1:23" ht="15" customHeight="1" x14ac:dyDescent="0.2">
      <c r="D23" s="37"/>
      <c r="N23" s="1"/>
      <c r="O23" s="51"/>
      <c r="P23" s="51"/>
      <c r="Q23" s="44"/>
      <c r="R23" s="44"/>
      <c r="S23" s="56"/>
      <c r="T23" s="58"/>
      <c r="U23" s="57"/>
    </row>
    <row r="24" spans="1:23" ht="16" customHeight="1" x14ac:dyDescent="0.2">
      <c r="N24" s="1"/>
      <c r="O24" s="51"/>
      <c r="P24" s="51"/>
      <c r="Q24" s="44"/>
      <c r="R24" s="44"/>
      <c r="S24" s="56"/>
      <c r="T24" s="58"/>
      <c r="U24" s="57"/>
      <c r="W24" s="1"/>
    </row>
    <row r="25" spans="1:23" ht="15" customHeight="1" x14ac:dyDescent="0.2">
      <c r="N25" s="1"/>
      <c r="O25" s="56"/>
      <c r="P25" s="56"/>
      <c r="Q25" s="56"/>
      <c r="R25" s="56"/>
      <c r="S25" s="56"/>
      <c r="T25" s="56"/>
      <c r="U25" s="56"/>
    </row>
    <row r="26" spans="1:23" x14ac:dyDescent="0.2">
      <c r="N26" s="1"/>
      <c r="O26" s="56"/>
      <c r="P26" s="56"/>
      <c r="Q26" s="56"/>
      <c r="R26" s="56"/>
      <c r="S26" s="56"/>
      <c r="T26" s="56"/>
      <c r="U26" s="56"/>
    </row>
    <row r="27" spans="1:23" x14ac:dyDescent="0.2">
      <c r="N27" s="1"/>
    </row>
    <row r="28" spans="1:23" x14ac:dyDescent="0.2">
      <c r="N28" s="1"/>
    </row>
    <row r="29" spans="1:23" x14ac:dyDescent="0.2">
      <c r="I29" s="1"/>
      <c r="J29" s="1"/>
      <c r="N29" s="1"/>
    </row>
    <row r="30" spans="1:23" x14ac:dyDescent="0.2">
      <c r="I30" s="1"/>
      <c r="J30" s="1"/>
      <c r="N30" s="1"/>
    </row>
    <row r="31" spans="1:23" ht="15" customHeight="1" x14ac:dyDescent="0.2">
      <c r="N31" s="1"/>
    </row>
    <row r="32" spans="1:23" ht="15" customHeight="1" x14ac:dyDescent="0.2">
      <c r="N32" s="1"/>
    </row>
    <row r="33" spans="14:14" ht="15" customHeight="1" x14ac:dyDescent="0.2">
      <c r="N33" s="1"/>
    </row>
    <row r="34" spans="14:14" x14ac:dyDescent="0.2">
      <c r="N34" s="1"/>
    </row>
    <row r="35" spans="14:14" ht="15" customHeight="1" x14ac:dyDescent="0.2">
      <c r="N35" s="1"/>
    </row>
    <row r="36" spans="14:14" ht="16" customHeight="1" x14ac:dyDescent="0.2">
      <c r="N36" s="1"/>
    </row>
    <row r="37" spans="14:14" ht="15" customHeight="1" x14ac:dyDescent="0.2">
      <c r="N37" s="1"/>
    </row>
    <row r="38" spans="14:14" x14ac:dyDescent="0.2">
      <c r="N38" s="1"/>
    </row>
    <row r="39" spans="14:14" x14ac:dyDescent="0.2">
      <c r="N39" s="1"/>
    </row>
    <row r="40" spans="14:14" x14ac:dyDescent="0.2">
      <c r="N40" s="1"/>
    </row>
    <row r="41" spans="14:14" x14ac:dyDescent="0.2">
      <c r="N41" s="1"/>
    </row>
  </sheetData>
  <mergeCells count="11">
    <mergeCell ref="A6:A8"/>
    <mergeCell ref="A9:A11"/>
    <mergeCell ref="A22:C22"/>
    <mergeCell ref="A15:A17"/>
    <mergeCell ref="A18:A20"/>
    <mergeCell ref="A12:A14"/>
    <mergeCell ref="O1:U1"/>
    <mergeCell ref="W1:AC1"/>
    <mergeCell ref="C1:E1"/>
    <mergeCell ref="G1:I1"/>
    <mergeCell ref="A3:A5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CB0-4ED0-6749-A87F-9C160F20A588}">
  <dimension ref="A1:V22"/>
  <sheetViews>
    <sheetView topLeftCell="A11" workbookViewId="0">
      <selection activeCell="P1" sqref="P1:V8"/>
    </sheetView>
  </sheetViews>
  <sheetFormatPr baseColWidth="10" defaultRowHeight="16" x14ac:dyDescent="0.2"/>
  <cols>
    <col min="1" max="1" width="9.1640625" bestFit="1" customWidth="1"/>
    <col min="2" max="2" width="3.83203125" bestFit="1" customWidth="1"/>
    <col min="3" max="4" width="4.6640625" bestFit="1" customWidth="1"/>
    <col min="5" max="5" width="3.5" bestFit="1" customWidth="1"/>
    <col min="6" max="6" width="4.1640625" bestFit="1" customWidth="1"/>
    <col min="7" max="8" width="4.6640625" bestFit="1" customWidth="1"/>
    <col min="9" max="9" width="3.5" bestFit="1" customWidth="1"/>
    <col min="10" max="10" width="4.1640625" bestFit="1" customWidth="1"/>
    <col min="11" max="11" width="9.83203125" bestFit="1" customWidth="1"/>
    <col min="12" max="12" width="9.1640625" bestFit="1" customWidth="1"/>
    <col min="13" max="13" width="8.6640625" bestFit="1" customWidth="1"/>
  </cols>
  <sheetData>
    <row r="1" spans="1:22" x14ac:dyDescent="0.2">
      <c r="A1" s="107" t="s">
        <v>0</v>
      </c>
      <c r="B1" s="107"/>
      <c r="C1" s="108" t="s">
        <v>96</v>
      </c>
      <c r="D1" s="108"/>
      <c r="E1" s="108"/>
      <c r="F1" s="109"/>
      <c r="G1" s="108" t="s">
        <v>97</v>
      </c>
      <c r="H1" s="108"/>
      <c r="I1" s="108"/>
      <c r="J1" s="110"/>
      <c r="K1" s="111"/>
      <c r="L1" s="111"/>
      <c r="M1" s="111"/>
      <c r="P1" s="105" t="s">
        <v>113</v>
      </c>
      <c r="Q1" s="105"/>
      <c r="R1" s="105"/>
      <c r="S1" s="105"/>
      <c r="T1" s="105"/>
      <c r="U1" s="105"/>
      <c r="V1" s="105"/>
    </row>
    <row r="2" spans="1:22" ht="34" x14ac:dyDescent="0.2">
      <c r="A2" s="112"/>
      <c r="B2" s="112" t="s">
        <v>81</v>
      </c>
      <c r="C2" s="112">
        <v>1</v>
      </c>
      <c r="D2" s="112">
        <v>2</v>
      </c>
      <c r="E2" s="113">
        <v>3</v>
      </c>
      <c r="F2" s="113">
        <v>4</v>
      </c>
      <c r="G2" s="112">
        <v>1</v>
      </c>
      <c r="H2" s="112">
        <v>2</v>
      </c>
      <c r="I2" s="113">
        <v>3</v>
      </c>
      <c r="J2" s="113">
        <v>4</v>
      </c>
      <c r="K2" s="114" t="s">
        <v>67</v>
      </c>
      <c r="L2" s="115" t="s">
        <v>84</v>
      </c>
      <c r="M2" s="115" t="s">
        <v>85</v>
      </c>
      <c r="P2" s="25"/>
      <c r="Q2" s="25" t="s">
        <v>108</v>
      </c>
      <c r="R2" s="25" t="s">
        <v>87</v>
      </c>
      <c r="S2" s="25" t="s">
        <v>88</v>
      </c>
      <c r="T2" s="25" t="s">
        <v>89</v>
      </c>
      <c r="U2" s="29" t="s">
        <v>98</v>
      </c>
      <c r="V2" s="25" t="s">
        <v>90</v>
      </c>
    </row>
    <row r="3" spans="1:22" x14ac:dyDescent="0.2">
      <c r="A3" s="116" t="s">
        <v>3</v>
      </c>
      <c r="B3" s="117" t="s">
        <v>73</v>
      </c>
      <c r="C3" s="118" t="s">
        <v>74</v>
      </c>
      <c r="D3" s="119">
        <v>149</v>
      </c>
      <c r="E3" s="119"/>
      <c r="F3" s="119"/>
      <c r="G3" s="118" t="s">
        <v>74</v>
      </c>
      <c r="H3" s="119">
        <v>128</v>
      </c>
      <c r="I3" s="119"/>
      <c r="J3" s="119"/>
      <c r="K3" s="118">
        <v>0.1</v>
      </c>
      <c r="L3" s="120">
        <f>AVERAGE(D3,H3)</f>
        <v>138.5</v>
      </c>
      <c r="M3" s="121">
        <f>(L3/(0.01*K3))*0.2</f>
        <v>27700</v>
      </c>
      <c r="P3" s="25" t="s">
        <v>3</v>
      </c>
      <c r="Q3" s="86" t="s">
        <v>94</v>
      </c>
      <c r="R3" s="9">
        <v>31566.666666666668</v>
      </c>
      <c r="S3" s="9">
        <v>4843.8965031607822</v>
      </c>
      <c r="T3" s="13">
        <v>2.4465811965811968</v>
      </c>
      <c r="U3" s="2"/>
      <c r="V3" s="23">
        <v>1</v>
      </c>
    </row>
    <row r="4" spans="1:22" x14ac:dyDescent="0.2">
      <c r="A4" s="122"/>
      <c r="B4" s="117" t="s">
        <v>75</v>
      </c>
      <c r="C4" s="118" t="s">
        <v>74</v>
      </c>
      <c r="D4" s="118" t="s">
        <v>74</v>
      </c>
      <c r="E4" s="119">
        <v>14</v>
      </c>
      <c r="F4" s="119"/>
      <c r="G4" s="118" t="s">
        <v>74</v>
      </c>
      <c r="H4" s="118" t="s">
        <v>74</v>
      </c>
      <c r="I4" s="119">
        <v>16</v>
      </c>
      <c r="J4" s="119"/>
      <c r="K4" s="118">
        <v>0.01</v>
      </c>
      <c r="L4" s="120">
        <f>AVERAGE(E4,I4)</f>
        <v>15</v>
      </c>
      <c r="M4" s="121">
        <f>(L4/(0.01*K4))*0.2</f>
        <v>30000</v>
      </c>
      <c r="P4" s="25" t="s">
        <v>116</v>
      </c>
      <c r="Q4" s="86" t="s">
        <v>94</v>
      </c>
      <c r="R4" s="9">
        <v>0</v>
      </c>
      <c r="S4" s="9">
        <v>0</v>
      </c>
      <c r="T4" s="13">
        <v>2.7136752136752138</v>
      </c>
      <c r="U4" s="131">
        <v>3.510615495276725E-4</v>
      </c>
      <c r="V4" s="23" t="e">
        <v>#DIV/0!</v>
      </c>
    </row>
    <row r="5" spans="1:22" x14ac:dyDescent="0.2">
      <c r="A5" s="123"/>
      <c r="B5" s="117" t="s">
        <v>91</v>
      </c>
      <c r="C5" s="118" t="s">
        <v>74</v>
      </c>
      <c r="D5" s="118" t="s">
        <v>74</v>
      </c>
      <c r="E5" s="119">
        <v>14</v>
      </c>
      <c r="F5" s="119"/>
      <c r="G5" s="118" t="s">
        <v>74</v>
      </c>
      <c r="H5" s="118" t="s">
        <v>74</v>
      </c>
      <c r="I5" s="119">
        <v>23</v>
      </c>
      <c r="J5" s="119"/>
      <c r="K5" s="118">
        <v>0.01</v>
      </c>
      <c r="L5" s="120">
        <f>AVERAGE(E5,I5)</f>
        <v>18.5</v>
      </c>
      <c r="M5" s="121">
        <f t="shared" ref="M5:M14" si="0">(L5/(0.01*K5))*0.2</f>
        <v>37000</v>
      </c>
      <c r="P5" s="25" t="s">
        <v>4</v>
      </c>
      <c r="Q5" s="86" t="s">
        <v>94</v>
      </c>
      <c r="R5" s="9">
        <v>23.333333333333332</v>
      </c>
      <c r="S5" s="9">
        <v>15.275252316519468</v>
      </c>
      <c r="T5" s="13">
        <v>3.6217948717948718</v>
      </c>
      <c r="U5" s="131">
        <v>3.5208181032403597E-4</v>
      </c>
      <c r="V5" s="23">
        <v>-1352.8571428571429</v>
      </c>
    </row>
    <row r="6" spans="1:22" x14ac:dyDescent="0.2">
      <c r="A6" s="124" t="s">
        <v>116</v>
      </c>
      <c r="B6" s="117" t="s">
        <v>76</v>
      </c>
      <c r="C6" s="119">
        <v>0</v>
      </c>
      <c r="D6" s="118"/>
      <c r="E6" s="119"/>
      <c r="F6" s="119"/>
      <c r="G6" s="119">
        <v>0</v>
      </c>
      <c r="H6" s="118"/>
      <c r="I6" s="119"/>
      <c r="J6" s="119"/>
      <c r="K6" s="118">
        <v>1</v>
      </c>
      <c r="L6" s="120">
        <f>AVERAGE(C6,G6)</f>
        <v>0</v>
      </c>
      <c r="M6" s="121">
        <f>(L6/(0.05*K6))*0.2</f>
        <v>0</v>
      </c>
      <c r="P6" s="132" t="s">
        <v>3</v>
      </c>
      <c r="Q6" s="133" t="s">
        <v>107</v>
      </c>
      <c r="R6" s="9">
        <v>61333.333333333336</v>
      </c>
      <c r="S6" s="9">
        <v>13012.814197295411</v>
      </c>
      <c r="T6" s="13">
        <v>2.8205128205128207</v>
      </c>
      <c r="U6" s="131">
        <v>2.0597505974507966E-2</v>
      </c>
      <c r="V6" s="23">
        <v>1.9429778247096092</v>
      </c>
    </row>
    <row r="7" spans="1:22" x14ac:dyDescent="0.2">
      <c r="A7" s="125"/>
      <c r="B7" s="117" t="s">
        <v>77</v>
      </c>
      <c r="C7" s="119">
        <v>0</v>
      </c>
      <c r="D7" s="118"/>
      <c r="E7" s="119"/>
      <c r="F7" s="119"/>
      <c r="G7" s="119">
        <v>0</v>
      </c>
      <c r="H7" s="118"/>
      <c r="I7" s="119"/>
      <c r="J7" s="119"/>
      <c r="K7" s="118">
        <v>1</v>
      </c>
      <c r="L7" s="120">
        <f>AVERAGE(C7,G7)</f>
        <v>0</v>
      </c>
      <c r="M7" s="121">
        <f>(L7/(0.05*K7))*0.2</f>
        <v>0</v>
      </c>
      <c r="P7" s="25" t="s">
        <v>116</v>
      </c>
      <c r="Q7" s="86" t="s">
        <v>107</v>
      </c>
      <c r="R7" s="9">
        <v>0</v>
      </c>
      <c r="S7" s="9">
        <v>0</v>
      </c>
      <c r="T7" s="13">
        <v>2.841880341880342</v>
      </c>
      <c r="U7" s="131">
        <v>3.510615495276725E-4</v>
      </c>
      <c r="V7" s="23" t="e">
        <v>#DIV/0!</v>
      </c>
    </row>
    <row r="8" spans="1:22" x14ac:dyDescent="0.2">
      <c r="A8" s="126"/>
      <c r="B8" s="117" t="s">
        <v>92</v>
      </c>
      <c r="C8" s="119">
        <v>0</v>
      </c>
      <c r="D8" s="118"/>
      <c r="E8" s="119"/>
      <c r="F8" s="119"/>
      <c r="G8" s="119">
        <v>0</v>
      </c>
      <c r="H8" s="118"/>
      <c r="I8" s="119"/>
      <c r="J8" s="119"/>
      <c r="K8" s="118">
        <v>1</v>
      </c>
      <c r="L8" s="120">
        <f>AVERAGE(C8,G8)</f>
        <v>0</v>
      </c>
      <c r="M8" s="121">
        <f t="shared" ref="M8" si="1">(L8/(0.05*K8))*0.2</f>
        <v>0</v>
      </c>
      <c r="P8" s="25" t="s">
        <v>4</v>
      </c>
      <c r="Q8" s="86" t="s">
        <v>107</v>
      </c>
      <c r="R8" s="9">
        <v>95666.666666666672</v>
      </c>
      <c r="S8" s="9">
        <v>22501.851775650244</v>
      </c>
      <c r="T8" s="13">
        <v>3.6324786324786325</v>
      </c>
      <c r="U8" s="131">
        <v>8.5012287041458332E-3</v>
      </c>
      <c r="V8" s="23">
        <v>3.0306230200633579</v>
      </c>
    </row>
    <row r="9" spans="1:22" x14ac:dyDescent="0.2">
      <c r="A9" s="124" t="s">
        <v>112</v>
      </c>
      <c r="B9" s="117" t="s">
        <v>78</v>
      </c>
      <c r="C9" s="119">
        <v>8</v>
      </c>
      <c r="D9" s="119"/>
      <c r="E9" s="118"/>
      <c r="F9" s="118"/>
      <c r="G9" s="119">
        <v>2</v>
      </c>
      <c r="H9" s="119"/>
      <c r="I9" s="118"/>
      <c r="J9" s="118"/>
      <c r="K9" s="118">
        <v>1</v>
      </c>
      <c r="L9" s="127">
        <f>AVERAGE(C9,G9)</f>
        <v>5</v>
      </c>
      <c r="M9" s="121">
        <f>(L9/(0.05*K9))*0.2</f>
        <v>20</v>
      </c>
    </row>
    <row r="10" spans="1:22" x14ac:dyDescent="0.2">
      <c r="A10" s="125"/>
      <c r="B10" s="117" t="s">
        <v>79</v>
      </c>
      <c r="C10" s="119">
        <v>2</v>
      </c>
      <c r="D10" s="119"/>
      <c r="E10" s="118"/>
      <c r="F10" s="118"/>
      <c r="G10" s="119">
        <v>6</v>
      </c>
      <c r="H10" s="119"/>
      <c r="I10" s="118"/>
      <c r="J10" s="118"/>
      <c r="K10" s="118">
        <v>2</v>
      </c>
      <c r="L10" s="127">
        <f t="shared" ref="L10:L11" si="2">AVERAGE(C10,G10)</f>
        <v>4</v>
      </c>
      <c r="M10" s="121">
        <f t="shared" si="0"/>
        <v>40</v>
      </c>
    </row>
    <row r="11" spans="1:22" x14ac:dyDescent="0.2">
      <c r="A11" s="126"/>
      <c r="B11" s="117" t="s">
        <v>93</v>
      </c>
      <c r="C11" s="119">
        <v>0</v>
      </c>
      <c r="D11" s="119"/>
      <c r="E11" s="118"/>
      <c r="F11" s="118"/>
      <c r="G11" s="119">
        <v>3</v>
      </c>
      <c r="H11" s="119"/>
      <c r="I11" s="118"/>
      <c r="J11" s="118"/>
      <c r="K11" s="118">
        <v>3</v>
      </c>
      <c r="L11" s="127">
        <f t="shared" si="2"/>
        <v>1.5</v>
      </c>
      <c r="M11" s="121">
        <f t="shared" si="0"/>
        <v>10</v>
      </c>
    </row>
    <row r="12" spans="1:22" x14ac:dyDescent="0.2">
      <c r="A12" s="116" t="s">
        <v>3</v>
      </c>
      <c r="B12" s="117" t="s">
        <v>100</v>
      </c>
      <c r="C12" s="118" t="s">
        <v>74</v>
      </c>
      <c r="D12" s="118" t="s">
        <v>74</v>
      </c>
      <c r="E12" s="119">
        <v>31</v>
      </c>
      <c r="F12" s="118"/>
      <c r="G12" s="118" t="s">
        <v>74</v>
      </c>
      <c r="H12" s="118" t="s">
        <v>74</v>
      </c>
      <c r="I12" s="119">
        <v>43</v>
      </c>
      <c r="J12" s="118"/>
      <c r="K12" s="118">
        <v>0.01</v>
      </c>
      <c r="L12" s="120">
        <f>AVERAGE(E12,I12)</f>
        <v>37</v>
      </c>
      <c r="M12" s="121">
        <f t="shared" si="0"/>
        <v>74000</v>
      </c>
    </row>
    <row r="13" spans="1:22" x14ac:dyDescent="0.2">
      <c r="A13" s="122"/>
      <c r="B13" s="117" t="s">
        <v>101</v>
      </c>
      <c r="C13" s="118" t="s">
        <v>74</v>
      </c>
      <c r="D13" s="118" t="s">
        <v>74</v>
      </c>
      <c r="E13" s="119">
        <v>31</v>
      </c>
      <c r="F13" s="118"/>
      <c r="G13" s="118" t="s">
        <v>74</v>
      </c>
      <c r="H13" s="118" t="s">
        <v>74</v>
      </c>
      <c r="I13" s="119">
        <v>31</v>
      </c>
      <c r="J13" s="118"/>
      <c r="K13" s="118">
        <v>0.01</v>
      </c>
      <c r="L13" s="120">
        <f>AVERAGE(E13,I13)</f>
        <v>31</v>
      </c>
      <c r="M13" s="121">
        <f t="shared" si="0"/>
        <v>62000</v>
      </c>
    </row>
    <row r="14" spans="1:22" x14ac:dyDescent="0.2">
      <c r="A14" s="123"/>
      <c r="B14" s="117" t="s">
        <v>109</v>
      </c>
      <c r="C14" s="118" t="s">
        <v>74</v>
      </c>
      <c r="D14" s="118" t="s">
        <v>74</v>
      </c>
      <c r="E14" s="119">
        <v>23</v>
      </c>
      <c r="F14" s="118"/>
      <c r="G14" s="118" t="s">
        <v>74</v>
      </c>
      <c r="H14" s="118" t="s">
        <v>74</v>
      </c>
      <c r="I14" s="119">
        <v>25</v>
      </c>
      <c r="J14" s="118"/>
      <c r="K14" s="118">
        <v>0.01</v>
      </c>
      <c r="L14" s="120">
        <f>AVERAGE(E14,I14)</f>
        <v>24</v>
      </c>
      <c r="M14" s="121">
        <f t="shared" si="0"/>
        <v>48000</v>
      </c>
    </row>
    <row r="15" spans="1:22" x14ac:dyDescent="0.2">
      <c r="A15" s="124" t="s">
        <v>116</v>
      </c>
      <c r="B15" s="117" t="s">
        <v>102</v>
      </c>
      <c r="C15" s="119">
        <v>0</v>
      </c>
      <c r="D15" s="118"/>
      <c r="E15" s="119"/>
      <c r="F15" s="119"/>
      <c r="G15" s="128">
        <v>0</v>
      </c>
      <c r="H15" s="118"/>
      <c r="I15" s="119"/>
      <c r="J15" s="119"/>
      <c r="K15" s="118">
        <v>1</v>
      </c>
      <c r="L15" s="127">
        <f>AVERAGE(C15,G15)</f>
        <v>0</v>
      </c>
      <c r="M15" s="121">
        <f>(L15/(0.01*K15))*0.2</f>
        <v>0</v>
      </c>
    </row>
    <row r="16" spans="1:22" x14ac:dyDescent="0.2">
      <c r="A16" s="125"/>
      <c r="B16" s="117" t="s">
        <v>103</v>
      </c>
      <c r="C16" s="119">
        <v>0</v>
      </c>
      <c r="D16" s="118"/>
      <c r="E16" s="119"/>
      <c r="F16" s="119"/>
      <c r="G16" s="119">
        <v>0</v>
      </c>
      <c r="H16" s="118"/>
      <c r="I16" s="119"/>
      <c r="J16" s="119"/>
      <c r="K16" s="118">
        <v>1</v>
      </c>
      <c r="L16" s="127">
        <f>AVERAGE(C16,G16)</f>
        <v>0</v>
      </c>
      <c r="M16" s="121">
        <f>(L16/(0.01*K16))*0.2</f>
        <v>0</v>
      </c>
    </row>
    <row r="17" spans="1:13" x14ac:dyDescent="0.2">
      <c r="A17" s="126"/>
      <c r="B17" s="117" t="s">
        <v>110</v>
      </c>
      <c r="C17" s="119">
        <v>0</v>
      </c>
      <c r="D17" s="119"/>
      <c r="E17" s="119"/>
      <c r="F17" s="119"/>
      <c r="G17" s="119">
        <v>0</v>
      </c>
      <c r="H17" s="119"/>
      <c r="I17" s="119"/>
      <c r="J17" s="119"/>
      <c r="K17" s="118">
        <v>1</v>
      </c>
      <c r="L17" s="127">
        <f>AVERAGE(C17,G17)</f>
        <v>0</v>
      </c>
      <c r="M17" s="121">
        <f>(L17/(0.01*K17))*0.2</f>
        <v>0</v>
      </c>
    </row>
    <row r="18" spans="1:13" x14ac:dyDescent="0.2">
      <c r="A18" s="124" t="s">
        <v>4</v>
      </c>
      <c r="B18" s="117" t="s">
        <v>104</v>
      </c>
      <c r="C18" s="118" t="s">
        <v>74</v>
      </c>
      <c r="D18" s="118" t="s">
        <v>74</v>
      </c>
      <c r="E18" s="119">
        <v>47</v>
      </c>
      <c r="F18" s="119"/>
      <c r="G18" s="118" t="s">
        <v>74</v>
      </c>
      <c r="H18" s="118" t="s">
        <v>74</v>
      </c>
      <c r="I18" s="119">
        <v>41</v>
      </c>
      <c r="J18" s="119"/>
      <c r="K18" s="118">
        <v>0.01</v>
      </c>
      <c r="L18" s="120">
        <f>AVERAGE(E18,I18)</f>
        <v>44</v>
      </c>
      <c r="M18" s="121">
        <f t="shared" ref="M18:M20" si="3">(L18/(0.01*K18))*0.2</f>
        <v>88000</v>
      </c>
    </row>
    <row r="19" spans="1:13" x14ac:dyDescent="0.2">
      <c r="A19" s="125"/>
      <c r="B19" s="117" t="s">
        <v>105</v>
      </c>
      <c r="C19" s="118" t="s">
        <v>74</v>
      </c>
      <c r="D19" s="118" t="s">
        <v>74</v>
      </c>
      <c r="E19" s="119">
        <v>86</v>
      </c>
      <c r="F19" s="119"/>
      <c r="G19" s="118" t="s">
        <v>74</v>
      </c>
      <c r="H19" s="118" t="s">
        <v>74</v>
      </c>
      <c r="I19" s="119">
        <v>35</v>
      </c>
      <c r="J19" s="119"/>
      <c r="K19" s="118">
        <v>0.01</v>
      </c>
      <c r="L19" s="120">
        <f>AVERAGE(E19,I19)</f>
        <v>60.5</v>
      </c>
      <c r="M19" s="121">
        <f t="shared" si="3"/>
        <v>121000</v>
      </c>
    </row>
    <row r="20" spans="1:13" x14ac:dyDescent="0.2">
      <c r="A20" s="126"/>
      <c r="B20" s="117" t="s">
        <v>111</v>
      </c>
      <c r="C20" s="118" t="s">
        <v>74</v>
      </c>
      <c r="D20" s="118" t="s">
        <v>74</v>
      </c>
      <c r="E20" s="119">
        <v>32</v>
      </c>
      <c r="F20" s="119"/>
      <c r="G20" s="118" t="s">
        <v>74</v>
      </c>
      <c r="H20" s="118" t="s">
        <v>74</v>
      </c>
      <c r="I20" s="119">
        <v>46</v>
      </c>
      <c r="J20" s="119"/>
      <c r="K20" s="118">
        <v>0.01</v>
      </c>
      <c r="L20" s="120">
        <f>AVERAGE(E20,I20)</f>
        <v>39</v>
      </c>
      <c r="M20" s="121">
        <f t="shared" si="3"/>
        <v>78000</v>
      </c>
    </row>
    <row r="21" spans="1:13" x14ac:dyDescent="0.2">
      <c r="A21" s="127" t="s">
        <v>80</v>
      </c>
      <c r="B21" s="127"/>
      <c r="C21" s="127">
        <v>1</v>
      </c>
      <c r="D21" s="127">
        <f>C21/10</f>
        <v>0.1</v>
      </c>
      <c r="E21" s="127">
        <f>D21/10</f>
        <v>0.01</v>
      </c>
      <c r="F21" s="127">
        <v>1E-3</v>
      </c>
      <c r="G21" s="127">
        <v>1</v>
      </c>
      <c r="H21" s="127">
        <f>G21/10</f>
        <v>0.1</v>
      </c>
      <c r="I21" s="127">
        <f>H21/10</f>
        <v>0.01</v>
      </c>
      <c r="J21" s="111">
        <v>1E-3</v>
      </c>
      <c r="K21" s="111"/>
      <c r="L21" s="111"/>
      <c r="M21" s="129"/>
    </row>
    <row r="22" spans="1:13" x14ac:dyDescent="0.2">
      <c r="A22" s="130" t="s">
        <v>99</v>
      </c>
      <c r="B22" s="130"/>
      <c r="C22" s="130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</sheetData>
  <mergeCells count="10">
    <mergeCell ref="A15:A17"/>
    <mergeCell ref="A18:A20"/>
    <mergeCell ref="A22:C22"/>
    <mergeCell ref="P1:V1"/>
    <mergeCell ref="C1:E1"/>
    <mergeCell ref="G1:I1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PlateSetup</vt:lpstr>
      <vt:lpstr>PlatePlanning</vt:lpstr>
      <vt:lpstr>BacteriaCalcs</vt:lpstr>
      <vt:lpstr>Inoculum</vt:lpstr>
      <vt:lpstr>Inoc_Dilution</vt:lpstr>
      <vt:lpstr>T=2</vt:lpstr>
      <vt:lpstr>T=24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cp:lastPrinted>2019-12-28T20:51:29Z</cp:lastPrinted>
  <dcterms:created xsi:type="dcterms:W3CDTF">2019-06-17T19:44:26Z</dcterms:created>
  <dcterms:modified xsi:type="dcterms:W3CDTF">2020-01-03T21:15:28Z</dcterms:modified>
</cp:coreProperties>
</file>