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Kathryn\Macrophage\"/>
    </mc:Choice>
  </mc:AlternateContent>
  <xr:revisionPtr revIDLastSave="0" documentId="13_ncr:1_{1A75C1D5-0295-429C-9552-AFA5A2D350BC}" xr6:coauthVersionLast="43" xr6:coauthVersionMax="43" xr10:uidLastSave="{00000000-0000-0000-0000-000000000000}"/>
  <bookViews>
    <workbookView xWindow="-110" yWindow="-110" windowWidth="19420" windowHeight="10420" tabRatio="500" activeTab="4" xr2:uid="{00000000-000D-0000-FFFF-FFFF00000000}"/>
  </bookViews>
  <sheets>
    <sheet name="ExperimentalSetup" sheetId="1" r:id="rId1"/>
    <sheet name="BacteriaCalcs" sheetId="7" r:id="rId2"/>
    <sheet name="Sheet1" sheetId="6" r:id="rId3"/>
    <sheet name="Plate Needs" sheetId="5" r:id="rId4"/>
    <sheet name="Inoculum" sheetId="2" r:id="rId5"/>
    <sheet name="T=2" sheetId="4" r:id="rId6"/>
    <sheet name="T=24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4" l="1"/>
  <c r="G4" i="4"/>
  <c r="G5" i="4"/>
  <c r="G6" i="4"/>
  <c r="G7" i="4"/>
  <c r="G8" i="4"/>
  <c r="G9" i="4"/>
  <c r="G11" i="4"/>
  <c r="G12" i="4"/>
  <c r="G13" i="4"/>
  <c r="G14" i="4"/>
  <c r="G3" i="4"/>
  <c r="AC8" i="3" l="1"/>
  <c r="AD8" i="3" s="1"/>
  <c r="AC7" i="3"/>
  <c r="AD7" i="3" s="1"/>
  <c r="AC6" i="3"/>
  <c r="AD6" i="3" s="1"/>
  <c r="AC4" i="3"/>
  <c r="AD4" i="3" s="1"/>
  <c r="AC3" i="3"/>
  <c r="AD3" i="3" s="1"/>
  <c r="R4" i="3"/>
  <c r="R6" i="3"/>
  <c r="R7" i="3"/>
  <c r="R8" i="3"/>
  <c r="Q8" i="3"/>
  <c r="Q7" i="3"/>
  <c r="Q6" i="3"/>
  <c r="Q4" i="3"/>
  <c r="H13" i="4"/>
  <c r="H11" i="4"/>
  <c r="H9" i="4"/>
  <c r="H7" i="4"/>
  <c r="H5" i="4"/>
  <c r="H3" i="4"/>
  <c r="N8" i="4"/>
  <c r="N7" i="4"/>
  <c r="N6" i="4"/>
  <c r="N5" i="4"/>
  <c r="N4" i="4"/>
  <c r="M15" i="2"/>
  <c r="M13" i="2"/>
  <c r="M11" i="2"/>
  <c r="M8" i="2"/>
  <c r="M6" i="2"/>
  <c r="M3" i="2"/>
  <c r="O8" i="3"/>
  <c r="O7" i="3"/>
  <c r="O6" i="3"/>
  <c r="O4" i="3"/>
  <c r="O3" i="3"/>
  <c r="N8" i="3"/>
  <c r="N7" i="3"/>
  <c r="N6" i="3"/>
  <c r="N4" i="3"/>
  <c r="N3" i="3"/>
  <c r="J12" i="3"/>
  <c r="J11" i="3"/>
  <c r="K11" i="3" s="1"/>
  <c r="J5" i="3"/>
  <c r="J10" i="3"/>
  <c r="K10" i="3" s="1"/>
  <c r="J9" i="3"/>
  <c r="K9" i="3" s="1"/>
  <c r="L8" i="4"/>
  <c r="L7" i="4"/>
  <c r="L6" i="4"/>
  <c r="L5" i="4"/>
  <c r="L4" i="4"/>
  <c r="L3" i="4"/>
  <c r="K8" i="4"/>
  <c r="O8" i="4" s="1"/>
  <c r="K7" i="4"/>
  <c r="O7" i="4" s="1"/>
  <c r="K6" i="4"/>
  <c r="O6" i="4" s="1"/>
  <c r="K5" i="4"/>
  <c r="K4" i="4"/>
  <c r="K3" i="4"/>
  <c r="O3" i="4" s="1"/>
  <c r="F14" i="4"/>
  <c r="F13" i="4"/>
  <c r="F12" i="4"/>
  <c r="F11" i="4"/>
  <c r="F10" i="4"/>
  <c r="F9" i="4"/>
  <c r="B25" i="2"/>
  <c r="C25" i="2"/>
  <c r="C24" i="2"/>
  <c r="B24" i="2"/>
  <c r="B23" i="2"/>
  <c r="K15" i="2"/>
  <c r="K13" i="2"/>
  <c r="K11" i="2"/>
  <c r="K8" i="2"/>
  <c r="K6" i="2"/>
  <c r="K3" i="2"/>
  <c r="J15" i="2"/>
  <c r="J13" i="2"/>
  <c r="J11" i="2"/>
  <c r="J8" i="2"/>
  <c r="J6" i="2"/>
  <c r="J3" i="2"/>
  <c r="I15" i="2"/>
  <c r="I13" i="2"/>
  <c r="I11" i="2"/>
  <c r="I8" i="2"/>
  <c r="I6" i="2"/>
  <c r="I3" i="2"/>
  <c r="H14" i="2"/>
  <c r="H13" i="2"/>
  <c r="H8" i="2"/>
  <c r="H7" i="2"/>
  <c r="H6" i="2"/>
  <c r="H3" i="2"/>
  <c r="H9" i="2"/>
  <c r="H4" i="2"/>
  <c r="H16" i="2"/>
  <c r="H15" i="2"/>
  <c r="L15" i="2" s="1"/>
  <c r="H12" i="2"/>
  <c r="H11" i="2"/>
  <c r="O4" i="4" l="1"/>
  <c r="O5" i="4"/>
  <c r="L11" i="2"/>
  <c r="L13" i="2"/>
  <c r="P9" i="1"/>
  <c r="P6" i="1"/>
  <c r="Z9" i="1"/>
  <c r="Z10" i="1" s="1"/>
  <c r="E5" i="7"/>
  <c r="E4" i="7"/>
  <c r="E3" i="7"/>
  <c r="P10" i="1" l="1"/>
  <c r="K16" i="3" l="1"/>
  <c r="K15" i="3"/>
  <c r="J13" i="3"/>
  <c r="J14" i="3"/>
  <c r="K12" i="3"/>
  <c r="J7" i="3"/>
  <c r="J8" i="3"/>
  <c r="J6" i="3"/>
  <c r="K6" i="3" s="1"/>
  <c r="J3" i="3" l="1"/>
  <c r="H5" i="2" l="1"/>
  <c r="H10" i="2"/>
  <c r="T7" i="1" l="1"/>
  <c r="T8" i="1" s="1"/>
  <c r="B7" i="5" l="1"/>
  <c r="C7" i="5" l="1"/>
  <c r="C8" i="5" s="1"/>
  <c r="B8" i="5"/>
  <c r="B9" i="5" l="1"/>
  <c r="P18" i="1"/>
  <c r="P20" i="1" s="1"/>
  <c r="P22" i="1" s="1"/>
  <c r="F3" i="4"/>
  <c r="F4" i="4"/>
  <c r="F5" i="4"/>
  <c r="F6" i="4"/>
  <c r="K7" i="3"/>
  <c r="K8" i="3"/>
  <c r="L3" i="2"/>
  <c r="C20" i="2" s="1"/>
  <c r="K14" i="3"/>
  <c r="P4" i="1"/>
  <c r="K3" i="3"/>
  <c r="J4" i="3"/>
  <c r="K4" i="3" s="1"/>
  <c r="K5" i="3"/>
  <c r="K13" i="3"/>
  <c r="F8" i="4"/>
  <c r="J15" i="3"/>
  <c r="J16" i="3"/>
  <c r="D17" i="3"/>
  <c r="E17" i="3" s="1"/>
  <c r="F7" i="4"/>
  <c r="L6" i="2"/>
  <c r="C21" i="2" s="1"/>
  <c r="D17" i="2"/>
  <c r="E17" i="2" s="1"/>
  <c r="F17" i="2" s="1"/>
  <c r="G17" i="3"/>
  <c r="H17" i="3" s="1"/>
  <c r="P24" i="1"/>
  <c r="O5" i="3" l="1"/>
  <c r="Q5" i="3"/>
  <c r="N5" i="3"/>
  <c r="R3" i="3"/>
  <c r="L8" i="2"/>
  <c r="C22" i="2" s="1"/>
  <c r="C23" i="2"/>
  <c r="AC5" i="3" l="1"/>
  <c r="AD5" i="3" s="1"/>
  <c r="R5" i="3"/>
  <c r="B21" i="2"/>
  <c r="B22" i="2"/>
  <c r="B20" i="2"/>
</calcChain>
</file>

<file path=xl/sharedStrings.xml><?xml version="1.0" encoding="utf-8"?>
<sst xmlns="http://schemas.openxmlformats.org/spreadsheetml/2006/main" count="319" uniqueCount="132">
  <si>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</si>
  <si>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</si>
  <si>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</si>
  <si>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</si>
  <si>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</si>
  <si>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</si>
  <si>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</si>
  <si>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</si>
  <si>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</si>
  <si>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</si>
  <si>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</si>
  <si>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</si>
  <si>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</si>
  <si>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</si>
  <si>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</si>
  <si>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</si>
  <si>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</si>
  <si>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</si>
  <si>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</si>
  <si>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</si>
  <si>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</si>
  <si>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</si>
  <si>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</si>
  <si>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</si>
  <si>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</si>
  <si>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</si>
  <si>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</si>
  <si>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</si>
  <si>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</si>
  <si>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</si>
  <si>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</si>
  <si>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</si>
  <si>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</si>
  <si>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</si>
  <si>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</si>
  <si>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</si>
  <si>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</si>
  <si>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</si>
  <si>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</si>
  <si>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</si>
  <si>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</si>
  <si>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</si>
  <si>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</si>
  <si>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</si>
  <si>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</si>
  <si>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</si>
  <si>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</si>
  <si>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</si>
  <si>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</si>
  <si>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</si>
  <si>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</si>
  <si>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</si>
  <si>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</si>
  <si>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</si>
  <si>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</si>
  <si>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</si>
  <si>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</si>
  <si>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</si>
  <si>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</si>
  <si>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</si>
  <si>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</si>
  <si>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</si>
  <si>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</si>
  <si>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</si>
  <si>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</si>
  <si>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macrophage**</t>
  </si>
  <si>
    <t>LVS**</t>
  </si>
  <si>
    <t>LVS only</t>
  </si>
  <si>
    <t>T-test (vs LVS)</t>
  </si>
  <si>
    <t>macrophage*</t>
  </si>
  <si>
    <t>LVS*</t>
  </si>
  <si>
    <t>Actual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</si>
  <si>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</si>
  <si>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</si>
  <si>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</si>
  <si>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</si>
  <si>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</si>
  <si>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</si>
  <si>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</si>
  <si>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</si>
  <si>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</si>
  <si>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</si>
  <si>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</si>
  <si>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</si>
  <si>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</si>
  <si>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</si>
  <si>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</si>
  <si>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</si>
  <si>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</si>
  <si>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Square: 3 wells plated in duplicate x 2 strains (LVS, pmrAD51A); Round: 3 wells plated in duplicate x 2 strains (∆pmrA, ∆pigR), 2 plates for control wells</t>
  </si>
  <si>
    <t>Set</t>
  </si>
  <si>
    <t>Counts</t>
  </si>
  <si>
    <t>Average</t>
  </si>
  <si>
    <t>Cells per mL</t>
  </si>
  <si>
    <t>Number</t>
  </si>
  <si>
    <t>Strain</t>
  </si>
  <si>
    <t>OD600</t>
  </si>
  <si>
    <t>Resuspend cells to (OD600)</t>
  </si>
  <si>
    <t>For final vol 1.3 mL at 0.028</t>
  </si>
  <si>
    <t>Media (x2, uL)</t>
  </si>
  <si>
    <t>Cells (uL)</t>
  </si>
  <si>
    <t>3C</t>
  </si>
  <si>
    <t>24 hours</t>
  </si>
  <si>
    <t>2 hours</t>
  </si>
  <si>
    <t>Bacterial Growth</t>
  </si>
  <si>
    <t>∆chaC</t>
  </si>
  <si>
    <t>∆chaC:Tn7ChaC</t>
  </si>
  <si>
    <r>
      <t>LVS ∆</t>
    </r>
    <r>
      <rPr>
        <i/>
        <sz val="12"/>
        <color theme="1"/>
        <rFont val="Calibri"/>
        <family val="2"/>
        <scheme val="minor"/>
      </rPr>
      <t>chaC</t>
    </r>
  </si>
  <si>
    <r>
      <rPr>
        <sz val="12"/>
        <color theme="1"/>
        <rFont val="Calibri"/>
        <family val="2"/>
        <scheme val="minor"/>
      </rPr>
      <t>LVS ∆</t>
    </r>
    <r>
      <rPr>
        <i/>
        <sz val="12"/>
        <color theme="1"/>
        <rFont val="Calibri"/>
        <family val="2"/>
        <scheme val="minor"/>
      </rPr>
      <t>chaC</t>
    </r>
    <r>
      <rPr>
        <sz val="12"/>
        <color theme="1"/>
        <rFont val="Calibri"/>
        <family val="2"/>
        <scheme val="minor"/>
      </rPr>
      <t xml:space="preserve"> Tn7:</t>
    </r>
    <r>
      <rPr>
        <i/>
        <sz val="12"/>
        <color theme="1"/>
        <rFont val="Calibri"/>
        <family val="2"/>
        <scheme val="minor"/>
      </rPr>
      <t>chaC</t>
    </r>
  </si>
  <si>
    <t>+</t>
  </si>
  <si>
    <t>#</t>
  </si>
  <si>
    <t>Added cysteine (5mM)</t>
  </si>
  <si>
    <t>Resuspension</t>
  </si>
  <si>
    <t>Final Dilution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</si>
  <si>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</si>
  <si>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</si>
  <si>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>Volume to dilute in 1 mL (usually 1:100)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</si>
  <si>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chaC</t>
    </r>
  </si>
  <si>
    <r>
      <t>∆</t>
    </r>
    <r>
      <rPr>
        <b/>
        <i/>
        <sz val="12"/>
        <color theme="1"/>
        <rFont val="Calibri"/>
        <family val="2"/>
        <scheme val="minor"/>
      </rPr>
      <t>chaC</t>
    </r>
    <r>
      <rPr>
        <b/>
        <sz val="12"/>
        <color theme="1"/>
        <rFont val="Calibri"/>
        <family val="2"/>
        <scheme val="minor"/>
      </rPr>
      <t xml:space="preserve"> Tn7:</t>
    </r>
    <r>
      <rPr>
        <b/>
        <i/>
        <sz val="12"/>
        <color theme="1"/>
        <rFont val="Calibri"/>
        <family val="2"/>
        <scheme val="minor"/>
      </rPr>
      <t>chaC</t>
    </r>
  </si>
  <si>
    <t>LVS +cysteine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</si>
  <si>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 xml:space="preserve">chaC </t>
    </r>
    <r>
      <rPr>
        <b/>
        <sz val="12"/>
        <color theme="1"/>
        <rFont val="Calibri"/>
        <family val="2"/>
        <scheme val="minor"/>
      </rPr>
      <t>+cysteine</t>
    </r>
  </si>
  <si>
    <r>
      <t>∆</t>
    </r>
    <r>
      <rPr>
        <b/>
        <i/>
        <sz val="12"/>
        <color theme="1"/>
        <rFont val="Calibri"/>
        <family val="2"/>
        <scheme val="minor"/>
      </rPr>
      <t>chaC</t>
    </r>
    <r>
      <rPr>
        <b/>
        <sz val="12"/>
        <color theme="1"/>
        <rFont val="Calibri"/>
        <family val="2"/>
        <scheme val="minor"/>
      </rPr>
      <t xml:space="preserve"> Tn7:</t>
    </r>
    <r>
      <rPr>
        <b/>
        <i/>
        <sz val="12"/>
        <color theme="1"/>
        <rFont val="Calibri"/>
        <family val="2"/>
        <scheme val="minor"/>
      </rPr>
      <t>chaC</t>
    </r>
    <r>
      <rPr>
        <b/>
        <sz val="12"/>
        <color theme="1"/>
        <rFont val="Calibri"/>
        <family val="2"/>
        <scheme val="minor"/>
      </rPr>
      <t xml:space="preserve"> +cysteine</t>
    </r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</si>
  <si>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+cysteine</t>
    </r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</si>
  <si>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+cysteine</t>
    </r>
  </si>
  <si>
    <r>
      <t>∆</t>
    </r>
    <r>
      <rPr>
        <b/>
        <i/>
        <sz val="12"/>
        <color theme="1"/>
        <rFont val="Calibri"/>
        <family val="2"/>
        <scheme val="minor"/>
      </rPr>
      <t xml:space="preserve">chaC </t>
    </r>
    <r>
      <rPr>
        <b/>
        <sz val="12"/>
        <color theme="1"/>
        <rFont val="Calibri"/>
        <family val="2"/>
        <scheme val="minor"/>
      </rPr>
      <t>Tn7:</t>
    </r>
    <r>
      <rPr>
        <b/>
        <i/>
        <sz val="12"/>
        <color theme="1"/>
        <rFont val="Calibri"/>
        <family val="2"/>
        <scheme val="minor"/>
      </rPr>
      <t>chaC</t>
    </r>
  </si>
  <si>
    <t>5A</t>
  </si>
  <si>
    <t>5B</t>
  </si>
  <si>
    <t>6A</t>
  </si>
  <si>
    <t>6B</t>
  </si>
  <si>
    <t>∆chaC Tn7:chaC</t>
  </si>
  <si>
    <t>∆chaC +cysteine</t>
  </si>
  <si>
    <t>∆chaC Tn7:chaC +cysteine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</si>
</sst>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NumberFormat="1" applyBorder="1" applyAlignment="1">
      <alignment horizontal="center" vertical="center" wrapText="1"/>
    </xf>
    <xf numFmtId="11" fontId="0" fillId="0" borderId="1" xfId="0" applyNumberFormat="1" applyBorder="1"/>
    <xf numFmtId="0" fontId="0" fillId="0" borderId="5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1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Fill="1" applyBorder="1"/>
    <xf numFmtId="11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6" xfId="0" applyFont="1" applyBorder="1" applyAlignment="1">
      <alignment horizontal="center"/>
    </xf>
    <xf numFmtId="0" fontId="0" fillId="0" borderId="6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right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166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Inoculum!$B$19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Inoculum!$C$20:$C$23</c:f>
                <c:numCache>
                  <c:formatCode>General</c:formatCode>
                  <c:ptCount val="4"/>
                  <c:pt idx="0">
                    <c:v>12583.057392117787</c:v>
                  </c:pt>
                  <c:pt idx="1">
                    <c:v>3.5355339059327378</c:v>
                  </c:pt>
                  <c:pt idx="2">
                    <c:v>7637.6261582597335</c:v>
                  </c:pt>
                  <c:pt idx="3">
                    <c:v>0</c:v>
                  </c:pt>
                </c:numCache>
              </c:numRef>
            </c:plus>
            <c:minus>
              <c:numRef>
                <c:f>Inoculum!$C$20:$C$23</c:f>
                <c:numCache>
                  <c:formatCode>General</c:formatCode>
                  <c:ptCount val="4"/>
                  <c:pt idx="0">
                    <c:v>12583.057392117787</c:v>
                  </c:pt>
                  <c:pt idx="1">
                    <c:v>3.5355339059327378</c:v>
                  </c:pt>
                  <c:pt idx="2">
                    <c:v>7637.6261582597335</c:v>
                  </c:pt>
                  <c:pt idx="3">
                    <c:v>0</c:v>
                  </c:pt>
                </c:numCache>
              </c:numRef>
            </c:minus>
          </c:errBars>
          <c:cat>
            <c:strRef>
              <c:f>Inoculum!$A$20:$A$25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 +cysteine</c:v>
                </c:pt>
                <c:pt idx="4">
                  <c:v>∆chaC +cysteine</c:v>
                </c:pt>
                <c:pt idx="5">
                  <c:v>∆chaC Tn7:chaC +cysteine</c:v>
                </c:pt>
              </c:strCache>
            </c:strRef>
          </c:cat>
          <c:val>
            <c:numRef>
              <c:f>Inoculum!$B$20:$B$25</c:f>
              <c:numCache>
                <c:formatCode>0.00E+00</c:formatCode>
                <c:ptCount val="6"/>
                <c:pt idx="0">
                  <c:v>101666.66666666667</c:v>
                </c:pt>
                <c:pt idx="1">
                  <c:v>12.5</c:v>
                </c:pt>
                <c:pt idx="2">
                  <c:v>131666.66666666669</c:v>
                </c:pt>
                <c:pt idx="3">
                  <c:v>100000</c:v>
                </c:pt>
                <c:pt idx="4">
                  <c:v>17.5</c:v>
                </c:pt>
                <c:pt idx="5">
                  <c:v>147500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82646718511195"/>
          <c:y val="5.9821077052868397E-2"/>
          <c:w val="0.78036342020070659"/>
          <c:h val="0.686858619231776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  <c:pt idx="3">
                    <c:v>19.798989873223309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  <c:pt idx="3">
                    <c:v>19.798989873223309</c:v>
                  </c:pt>
                </c:numCache>
              </c:numRef>
            </c:minus>
          </c:errBars>
          <c:cat>
            <c:strRef>
              <c:f>'T=2'!$J$3:$J$8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 +cysteine</c:v>
                </c:pt>
                <c:pt idx="4">
                  <c:v>∆chaC +cysteine</c:v>
                </c:pt>
                <c:pt idx="5">
                  <c:v>∆chaC Tn7:chaC +cysteine</c:v>
                </c:pt>
              </c:strCache>
            </c:strRef>
          </c:cat>
          <c:val>
            <c:numRef>
              <c:f>'T=2'!$K$3:$K$8</c:f>
              <c:numCache>
                <c:formatCode>0.00E+00</c:formatCode>
                <c:ptCount val="6"/>
                <c:pt idx="0">
                  <c:v>33.333333333333336</c:v>
                </c:pt>
                <c:pt idx="1">
                  <c:v>0</c:v>
                </c:pt>
                <c:pt idx="2">
                  <c:v>21.333333333333336</c:v>
                </c:pt>
                <c:pt idx="3">
                  <c:v>56.666666666666671</c:v>
                </c:pt>
                <c:pt idx="4">
                  <c:v>0</c:v>
                </c:pt>
                <c:pt idx="5">
                  <c:v>42.000000000000007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8137398522859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'T=24'!$N$2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'T=24'!$O$3:$O$5</c:f>
                <c:numCache>
                  <c:formatCode>General</c:formatCode>
                  <c:ptCount val="3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</c:numCache>
              </c:numRef>
            </c:plus>
            <c:minus>
              <c:numRef>
                <c:f>'T=24'!$O$3:$O$5</c:f>
                <c:numCache>
                  <c:formatCode>General</c:formatCode>
                  <c:ptCount val="3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</c:numCache>
              </c:numRef>
            </c:minus>
          </c:errBars>
          <c:cat>
            <c:strRef>
              <c:f>'T=24'!$M$3:$M$5</c:f>
              <c:strCache>
                <c:ptCount val="3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</c:strCache>
            </c:strRef>
          </c:cat>
          <c:val>
            <c:numRef>
              <c:f>'T=24'!$N$3:$N$5</c:f>
              <c:numCache>
                <c:formatCode>0.00E+00</c:formatCode>
                <c:ptCount val="3"/>
                <c:pt idx="0">
                  <c:v>37000</c:v>
                </c:pt>
                <c:pt idx="1">
                  <c:v>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813739852285905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'T=24'!$W$3:$W$5</c:f>
                <c:numCache>
                  <c:formatCode>General</c:formatCode>
                  <c:ptCount val="3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</c:numCache>
              </c:numRef>
            </c:plus>
            <c:minus>
              <c:numRef>
                <c:f>'T=24'!$W$3:$W$5</c:f>
                <c:numCache>
                  <c:formatCode>General</c:formatCode>
                  <c:ptCount val="3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</c:numCache>
              </c:numRef>
            </c:minus>
          </c:errBars>
          <c:cat>
            <c:strRef>
              <c:f>'T=24'!$M$3:$M$8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 +cysteine</c:v>
                </c:pt>
                <c:pt idx="4">
                  <c:v>∆chaC +cysteine</c:v>
                </c:pt>
                <c:pt idx="5">
                  <c:v>∆chaC Tn7:chaC +cysteine</c:v>
                </c:pt>
              </c:strCache>
            </c:strRef>
          </c:cat>
          <c:val>
            <c:numRef>
              <c:f>'T=24'!$V$3:$V$8</c:f>
              <c:numCache>
                <c:formatCode>0.00E+00</c:formatCode>
                <c:ptCount val="6"/>
                <c:pt idx="0">
                  <c:v>33.333333333333336</c:v>
                </c:pt>
                <c:pt idx="1">
                  <c:v>0</c:v>
                </c:pt>
                <c:pt idx="2">
                  <c:v>21.333333333333336</c:v>
                </c:pt>
                <c:pt idx="3">
                  <c:v>56.666666666666671</c:v>
                </c:pt>
                <c:pt idx="4">
                  <c:v>0</c:v>
                </c:pt>
                <c:pt idx="5">
                  <c:v>42.000000000000007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B-4942-B6DE-EF439A5DDB4B}"/>
            </c:ext>
          </c:extLst>
        </c:ser>
        <c:ser>
          <c:idx val="1"/>
          <c:order val="1"/>
          <c:invertIfNegative val="0"/>
          <c:errBars>
            <c:errBarType val="both"/>
            <c:errValType val="cust"/>
            <c:noEndCap val="0"/>
            <c:plus>
              <c:numRef>
                <c:f>'T=24'!$O$3:$O$6</c:f>
                <c:numCache>
                  <c:formatCode>General</c:formatCode>
                  <c:ptCount val="4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17677.66952966369</c:v>
                  </c:pt>
                </c:numCache>
              </c:numRef>
            </c:plus>
            <c:minus>
              <c:numRef>
                <c:f>'T=24'!$O$3:$O$6</c:f>
                <c:numCache>
                  <c:formatCode>General</c:formatCode>
                  <c:ptCount val="4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17677.66952966369</c:v>
                  </c:pt>
                </c:numCache>
              </c:numRef>
            </c:minus>
          </c:errBars>
          <c:cat>
            <c:strRef>
              <c:f>'T=24'!$M$3:$M$8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 +cysteine</c:v>
                </c:pt>
                <c:pt idx="4">
                  <c:v>∆chaC +cysteine</c:v>
                </c:pt>
                <c:pt idx="5">
                  <c:v>∆chaC Tn7:chaC +cysteine</c:v>
                </c:pt>
              </c:strCache>
            </c:strRef>
          </c:cat>
          <c:val>
            <c:numRef>
              <c:f>'T=24'!$N$3:$N$8</c:f>
              <c:numCache>
                <c:formatCode>0.00E+00</c:formatCode>
                <c:ptCount val="6"/>
                <c:pt idx="0">
                  <c:v>37000</c:v>
                </c:pt>
                <c:pt idx="1">
                  <c:v>0</c:v>
                </c:pt>
                <c:pt idx="2">
                  <c:v>15</c:v>
                </c:pt>
                <c:pt idx="3">
                  <c:v>48500</c:v>
                </c:pt>
                <c:pt idx="4">
                  <c:v>0</c:v>
                </c:pt>
                <c:pt idx="5">
                  <c:v>66500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B-4942-B6DE-EF439A5DD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'T=24'!$AD$3:$AD$5</c:f>
                <c:numCache>
                  <c:formatCode>General</c:formatCode>
                  <c:ptCount val="3"/>
                  <c:pt idx="0">
                    <c:v>268.76644122715709</c:v>
                  </c:pt>
                  <c:pt idx="1">
                    <c:v>0</c:v>
                  </c:pt>
                  <c:pt idx="2">
                    <c:v>0.46878540524369394</c:v>
                  </c:pt>
                </c:numCache>
              </c:numRef>
            </c:plus>
            <c:minus>
              <c:numRef>
                <c:f>'T=24'!$AD$3:$AD$5</c:f>
                <c:numCache>
                  <c:formatCode>General</c:formatCode>
                  <c:ptCount val="3"/>
                  <c:pt idx="0">
                    <c:v>268.76644122715709</c:v>
                  </c:pt>
                  <c:pt idx="1">
                    <c:v>0</c:v>
                  </c:pt>
                  <c:pt idx="2">
                    <c:v>0.46878540524369394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'T=24'!$AB$3:$AB$8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</c:v>
                </c:pt>
                <c:pt idx="4">
                  <c:v>∆chaC</c:v>
                </c:pt>
                <c:pt idx="5">
                  <c:v>∆chaC Tn7:chaC</c:v>
                </c:pt>
              </c:strCache>
            </c:strRef>
          </c:cat>
          <c:val>
            <c:numRef>
              <c:f>'T=24'!$AC$3:$AC$8</c:f>
              <c:numCache>
                <c:formatCode>0.00E+00</c:formatCode>
                <c:ptCount val="6"/>
                <c:pt idx="0">
                  <c:v>1110</c:v>
                </c:pt>
                <c:pt idx="1">
                  <c:v>0</c:v>
                </c:pt>
                <c:pt idx="2">
                  <c:v>0.70312499999999989</c:v>
                </c:pt>
                <c:pt idx="3">
                  <c:v>855.88235294117635</c:v>
                </c:pt>
                <c:pt idx="4" formatCode="General">
                  <c:v>0</c:v>
                </c:pt>
                <c:pt idx="5">
                  <c:v>1583.333333333333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B-E74F-AF7C-CF9DB77A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7606031"/>
        <c:axId val="747339007"/>
      </c:barChart>
      <c:catAx>
        <c:axId val="74760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7339007"/>
        <c:crossesAt val="0.1"/>
        <c:auto val="1"/>
        <c:lblAlgn val="ctr"/>
        <c:lblOffset val="100"/>
        <c:noMultiLvlLbl val="0"/>
      </c:catAx>
      <c:valAx>
        <c:axId val="74733900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Bacterial Growth</a:t>
                </a:r>
              </a:p>
              <a:p>
                <a:pPr>
                  <a:defRPr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7606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15113174955695"/>
          <c:y val="0.11635459612492259"/>
          <c:w val="0.79148046213849432"/>
          <c:h val="0.61470731856192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'T=24'!$U$1:$Z$1</c:f>
              <c:strCache>
                <c:ptCount val="1"/>
                <c:pt idx="0">
                  <c:v>2 hours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'T=24'!$W$3:$W$8</c:f>
                <c:numCache>
                  <c:formatCode>General</c:formatCode>
                  <c:ptCount val="6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  <c:pt idx="3">
                    <c:v>19.798989873223309</c:v>
                  </c:pt>
                  <c:pt idx="4">
                    <c:v>0</c:v>
                  </c:pt>
                  <c:pt idx="5">
                    <c:v>0.94280904158206003</c:v>
                  </c:pt>
                </c:numCache>
              </c:numRef>
            </c:plus>
            <c:minus>
              <c:numRef>
                <c:f>'T=24'!$W$3:$W$8</c:f>
                <c:numCache>
                  <c:formatCode>General</c:formatCode>
                  <c:ptCount val="6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  <c:pt idx="3">
                    <c:v>19.798989873223309</c:v>
                  </c:pt>
                  <c:pt idx="4">
                    <c:v>0</c:v>
                  </c:pt>
                  <c:pt idx="5">
                    <c:v>0.94280904158206003</c:v>
                  </c:pt>
                </c:numCache>
              </c:numRef>
            </c:minus>
          </c:errBars>
          <c:cat>
            <c:strRef>
              <c:f>'T=24'!$AB$3:$AB$8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</c:v>
                </c:pt>
                <c:pt idx="4">
                  <c:v>∆chaC</c:v>
                </c:pt>
                <c:pt idx="5">
                  <c:v>∆chaC Tn7:chaC</c:v>
                </c:pt>
              </c:strCache>
            </c:strRef>
          </c:cat>
          <c:val>
            <c:numRef>
              <c:f>'T=24'!$V$3:$V$8</c:f>
              <c:numCache>
                <c:formatCode>0.00E+00</c:formatCode>
                <c:ptCount val="6"/>
                <c:pt idx="0">
                  <c:v>33.333333333333336</c:v>
                </c:pt>
                <c:pt idx="1">
                  <c:v>0</c:v>
                </c:pt>
                <c:pt idx="2">
                  <c:v>21.333333333333336</c:v>
                </c:pt>
                <c:pt idx="3">
                  <c:v>56.666666666666671</c:v>
                </c:pt>
                <c:pt idx="4">
                  <c:v>0</c:v>
                </c:pt>
                <c:pt idx="5">
                  <c:v>42.000000000000007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B-7F4D-BC3F-2C3AF850E7AB}"/>
            </c:ext>
          </c:extLst>
        </c:ser>
        <c:ser>
          <c:idx val="1"/>
          <c:order val="1"/>
          <c:tx>
            <c:strRef>
              <c:f>'T=24'!$M$1:$R$1</c:f>
              <c:strCache>
                <c:ptCount val="1"/>
                <c:pt idx="0">
                  <c:v>24 hours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'T=24'!$O$3:$O$8</c:f>
                <c:numCache>
                  <c:formatCode>General</c:formatCode>
                  <c:ptCount val="6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17677.66952966369</c:v>
                  </c:pt>
                  <c:pt idx="4">
                    <c:v>0</c:v>
                  </c:pt>
                  <c:pt idx="5">
                    <c:v>3535.5339059327375</c:v>
                  </c:pt>
                </c:numCache>
              </c:numRef>
            </c:plus>
            <c:minus>
              <c:numRef>
                <c:f>'T=24'!$O$3:$O$8</c:f>
                <c:numCache>
                  <c:formatCode>General</c:formatCode>
                  <c:ptCount val="6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17677.66952966369</c:v>
                  </c:pt>
                  <c:pt idx="4">
                    <c:v>0</c:v>
                  </c:pt>
                  <c:pt idx="5">
                    <c:v>3535.5339059327375</c:v>
                  </c:pt>
                </c:numCache>
              </c:numRef>
            </c:minus>
          </c:errBars>
          <c:cat>
            <c:strRef>
              <c:f>'T=24'!$AB$3:$AB$8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 Tn7:chaC</c:v>
                </c:pt>
                <c:pt idx="3">
                  <c:v>LVS</c:v>
                </c:pt>
                <c:pt idx="4">
                  <c:v>∆chaC</c:v>
                </c:pt>
                <c:pt idx="5">
                  <c:v>∆chaC Tn7:chaC</c:v>
                </c:pt>
              </c:strCache>
            </c:strRef>
          </c:cat>
          <c:val>
            <c:numRef>
              <c:f>'T=24'!$N$3:$N$8</c:f>
              <c:numCache>
                <c:formatCode>0.00E+00</c:formatCode>
                <c:ptCount val="6"/>
                <c:pt idx="0">
                  <c:v>37000</c:v>
                </c:pt>
                <c:pt idx="1">
                  <c:v>0</c:v>
                </c:pt>
                <c:pt idx="2">
                  <c:v>15</c:v>
                </c:pt>
                <c:pt idx="3">
                  <c:v>48500</c:v>
                </c:pt>
                <c:pt idx="4">
                  <c:v>0</c:v>
                </c:pt>
                <c:pt idx="5">
                  <c:v>66500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B-7F4D-BC3F-2C3AF850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6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CFU per well</a:t>
                </a:r>
              </a:p>
            </c:rich>
          </c:tx>
          <c:layout>
            <c:manualLayout>
              <c:xMode val="edge"/>
              <c:yMode val="edge"/>
              <c:x val="1.0748928819794961E-2"/>
              <c:y val="0.2756779616031142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5015916279695795"/>
          <c:y val="2.4658055383526497E-2"/>
          <c:w val="0.2046943680232742"/>
          <c:h val="8.3250320454129279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42567991884452"/>
          <c:y val="0.16072361594335591"/>
          <c:w val="0.78647955815339032"/>
          <c:h val="0.53581131797777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'T=24'!$U$1:$Z$1</c:f>
              <c:strCache>
                <c:ptCount val="1"/>
                <c:pt idx="0">
                  <c:v>2 hours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'T=24'!$W$3:$W$8</c:f>
                <c:numCache>
                  <c:formatCode>General</c:formatCode>
                  <c:ptCount val="6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  <c:pt idx="3">
                    <c:v>19.798989873223309</c:v>
                  </c:pt>
                  <c:pt idx="4">
                    <c:v>0</c:v>
                  </c:pt>
                  <c:pt idx="5">
                    <c:v>0.94280904158206003</c:v>
                  </c:pt>
                </c:numCache>
              </c:numRef>
            </c:plus>
            <c:minus>
              <c:numRef>
                <c:f>'T=24'!$W$3:$W$8</c:f>
                <c:numCache>
                  <c:formatCode>General</c:formatCode>
                  <c:ptCount val="6"/>
                  <c:pt idx="0">
                    <c:v>3.7712361663282499</c:v>
                  </c:pt>
                  <c:pt idx="1">
                    <c:v>0</c:v>
                  </c:pt>
                  <c:pt idx="2">
                    <c:v>9.4280904158206287</c:v>
                  </c:pt>
                  <c:pt idx="3">
                    <c:v>19.798989873223309</c:v>
                  </c:pt>
                  <c:pt idx="4">
                    <c:v>0</c:v>
                  </c:pt>
                  <c:pt idx="5">
                    <c:v>0.94280904158206003</c:v>
                  </c:pt>
                </c:numCache>
              </c:numRef>
            </c:minus>
          </c:errBars>
          <c:cat>
            <c:strRef>
              <c:f>('T=24'!$AB$3,'T=24'!$AB$5:$AB$6,'T=24'!$AB$8)</c:f>
              <c:strCache>
                <c:ptCount val="4"/>
                <c:pt idx="0">
                  <c:v>LVS</c:v>
                </c:pt>
                <c:pt idx="1">
                  <c:v>∆chaC Tn7:chaC</c:v>
                </c:pt>
                <c:pt idx="2">
                  <c:v>LVS</c:v>
                </c:pt>
                <c:pt idx="3">
                  <c:v>∆chaC Tn7:chaC</c:v>
                </c:pt>
              </c:strCache>
            </c:strRef>
          </c:cat>
          <c:val>
            <c:numRef>
              <c:f>('T=24'!$V$3,'T=24'!$V$5:$V$6,'T=24'!$V$8)</c:f>
              <c:numCache>
                <c:formatCode>0.00E+00</c:formatCode>
                <c:ptCount val="4"/>
                <c:pt idx="0">
                  <c:v>33.333333333333336</c:v>
                </c:pt>
                <c:pt idx="1">
                  <c:v>21.333333333333336</c:v>
                </c:pt>
                <c:pt idx="2">
                  <c:v>56.666666666666671</c:v>
                </c:pt>
                <c:pt idx="3">
                  <c:v>42.000000000000007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8-3142-AD70-77A74AF0E455}"/>
            </c:ext>
          </c:extLst>
        </c:ser>
        <c:ser>
          <c:idx val="1"/>
          <c:order val="1"/>
          <c:tx>
            <c:strRef>
              <c:f>'T=24'!$M$1:$R$1</c:f>
              <c:strCache>
                <c:ptCount val="1"/>
                <c:pt idx="0">
                  <c:v>24 hours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'T=24'!$O$3:$O$8</c:f>
                <c:numCache>
                  <c:formatCode>General</c:formatCode>
                  <c:ptCount val="6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17677.66952966369</c:v>
                  </c:pt>
                  <c:pt idx="4">
                    <c:v>0</c:v>
                  </c:pt>
                  <c:pt idx="5">
                    <c:v>3535.5339059327375</c:v>
                  </c:pt>
                </c:numCache>
              </c:numRef>
            </c:plus>
            <c:minus>
              <c:numRef>
                <c:f>'T=24'!$O$3:$O$8</c:f>
                <c:numCache>
                  <c:formatCode>General</c:formatCode>
                  <c:ptCount val="6"/>
                  <c:pt idx="0">
                    <c:v>8485.2813742385697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17677.66952966369</c:v>
                  </c:pt>
                  <c:pt idx="4">
                    <c:v>0</c:v>
                  </c:pt>
                  <c:pt idx="5">
                    <c:v>3535.5339059327375</c:v>
                  </c:pt>
                </c:numCache>
              </c:numRef>
            </c:minus>
          </c:errBars>
          <c:cat>
            <c:strRef>
              <c:f>('T=24'!$AB$3,'T=24'!$AB$5:$AB$6,'T=24'!$AB$8)</c:f>
              <c:strCache>
                <c:ptCount val="4"/>
                <c:pt idx="0">
                  <c:v>LVS</c:v>
                </c:pt>
                <c:pt idx="1">
                  <c:v>∆chaC Tn7:chaC</c:v>
                </c:pt>
                <c:pt idx="2">
                  <c:v>LVS</c:v>
                </c:pt>
                <c:pt idx="3">
                  <c:v>∆chaC Tn7:chaC</c:v>
                </c:pt>
              </c:strCache>
            </c:strRef>
          </c:cat>
          <c:val>
            <c:numRef>
              <c:f>('T=24'!$N$3,'T=24'!$N$5:$N$6,'T=24'!$N$8)</c:f>
              <c:numCache>
                <c:formatCode>0.00E+00</c:formatCode>
                <c:ptCount val="4"/>
                <c:pt idx="0">
                  <c:v>37000</c:v>
                </c:pt>
                <c:pt idx="1">
                  <c:v>15</c:v>
                </c:pt>
                <c:pt idx="2">
                  <c:v>48500</c:v>
                </c:pt>
                <c:pt idx="3">
                  <c:v>66500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8-3142-AD70-77A74AF0E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6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5072748759808164"/>
          <c:y val="3.875968992248062E-2"/>
          <c:w val="0.34780077228566325"/>
          <c:h val="8.3250320454129279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7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image" Target="../media/image2.tiff"/><Relationship Id="rId5" Type="http://schemas.openxmlformats.org/officeDocument/2006/relationships/image" Target="../media/image1.tiff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18</xdr:row>
      <xdr:rowOff>63500</xdr:rowOff>
    </xdr:from>
    <xdr:to>
      <xdr:col>12</xdr:col>
      <xdr:colOff>31750</xdr:colOff>
      <xdr:row>34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169718</xdr:colOff>
      <xdr:row>10</xdr:row>
      <xdr:rowOff>32327</xdr:rowOff>
    </xdr:from>
    <xdr:to>
      <xdr:col>18</xdr:col>
      <xdr:colOff>380999</xdr:colOff>
      <xdr:row>28</xdr:row>
      <xdr:rowOff>117763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18</xdr:row>
      <xdr:rowOff>88900</xdr:rowOff>
    </xdr:from>
    <xdr:to>
      <xdr:col>10</xdr:col>
      <xdr:colOff>508000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18</xdr:row>
      <xdr:rowOff>139700</xdr:rowOff>
    </xdr:from>
    <xdr:to>
      <xdr:col>19</xdr:col>
      <xdr:colOff>635000</xdr:colOff>
      <xdr:row>34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A77628-F77E-8245-A2EB-7C10B144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463550</xdr:colOff>
      <xdr:row>49</xdr:row>
      <xdr:rowOff>25400</xdr:rowOff>
    </xdr:from>
    <xdr:to>
      <xdr:col>32</xdr:col>
      <xdr:colOff>317500</xdr:colOff>
      <xdr:row>62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7645D5-E9E0-5641-AAFA-E1D724EC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355600</xdr:colOff>
      <xdr:row>11</xdr:row>
      <xdr:rowOff>139700</xdr:rowOff>
    </xdr:from>
    <xdr:to>
      <xdr:col>30</xdr:col>
      <xdr:colOff>381000</xdr:colOff>
      <xdr:row>39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25E50-B672-0446-9117-3B001DEE48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33</xdr:col>
      <xdr:colOff>0</xdr:colOff>
      <xdr:row>34</xdr:row>
      <xdr:rowOff>0</xdr:rowOff>
    </xdr:from>
    <xdr:to>
      <xdr:col>40</xdr:col>
      <xdr:colOff>558800</xdr:colOff>
      <xdr:row>50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B8327F-363C-5346-9A1A-D2FE7AE47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206200" y="6743700"/>
          <a:ext cx="6337300" cy="3289300"/>
        </a:xfrm>
        <a:prstGeom prst="rect">
          <a:avLst/>
        </a:prstGeom>
      </xdr:spPr>
    </xdr:pic>
    <xdr:clientData/>
  </xdr:twoCellAnchor>
  <xdr:twoCellAnchor editAs="oneCell">
    <xdr:from>
      <xdr:col>40</xdr:col>
      <xdr:colOff>685800</xdr:colOff>
      <xdr:row>25</xdr:row>
      <xdr:rowOff>127000</xdr:rowOff>
    </xdr:from>
    <xdr:to>
      <xdr:col>47</xdr:col>
      <xdr:colOff>38100</xdr:colOff>
      <xdr:row>39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C03065-EFEE-A741-ABED-B198F0693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670500" y="5041900"/>
          <a:ext cx="5130800" cy="2755900"/>
        </a:xfrm>
        <a:prstGeom prst="rect">
          <a:avLst/>
        </a:prstGeom>
      </xdr:spPr>
    </xdr:pic>
    <xdr:clientData/>
  </xdr:twoCellAnchor>
  <xdr:twoCellAnchor>
    <xdr:from>
      <xdr:col>36</xdr:col>
      <xdr:colOff>203200</xdr:colOff>
      <xdr:row>1</xdr:row>
      <xdr:rowOff>457200</xdr:rowOff>
    </xdr:from>
    <xdr:to>
      <xdr:col>43</xdr:col>
      <xdr:colOff>635000</xdr:colOff>
      <xdr:row>21</xdr:row>
      <xdr:rowOff>38100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6A51D2D-0B4F-2D41-80F8-64671E66B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0.60123</cdr:x>
      <cdr:y>0.88372</cdr:y>
    </cdr:from>
    <cdr:to>
      <cdr:x>0.9321</cdr:x>
      <cdr:y>0.88372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BF2B01B-0018-0D4D-A3E2-74C3D65343BA}"/>
            </a:ext>
          </a:extLst>
        </cdr:cNvPr>
        <cdr:cNvCxnSpPr/>
      </cdr:nvCxnSpPr>
      <cdr:spPr>
        <a:xfrm xmlns:a="http://schemas.openxmlformats.org/drawingml/2006/main">
          <a:off x="6184900" y="2895600"/>
          <a:ext cx="34036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0.1963</cdr:x>
      <cdr:y>0.88372</cdr:y>
    </cdr:from>
    <cdr:to>
      <cdr:x>0.52716</cdr:x>
      <cdr:y>0.88372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AFB3A23-19C3-E249-A04C-2ABA5C07C375}"/>
            </a:ext>
          </a:extLst>
        </cdr:cNvPr>
        <cdr:cNvCxnSpPr/>
      </cdr:nvCxnSpPr>
      <cdr:spPr>
        <a:xfrm xmlns:a="http://schemas.openxmlformats.org/drawingml/2006/main">
          <a:off x="2019300" y="2895600"/>
          <a:ext cx="34036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0.69877</cdr:x>
      <cdr:y>0.8876</cdr:y>
    </cdr:from>
    <cdr:to>
      <cdr:x>0.84568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919ED18-48AD-D340-BD25-1F1263817FA2}"/>
            </a:ext>
          </a:extLst>
        </cdr:cNvPr>
        <cdr:cNvSpPr txBox="1"/>
      </cdr:nvSpPr>
      <cdr:spPr>
        <a:xfrm xmlns:a="http://schemas.openxmlformats.org/drawingml/2006/main">
          <a:off x="7188200" y="2908300"/>
          <a:ext cx="15113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+ cysteine</a:t>
          </a:r>
        </a:p>
      </cdr:txBody>
    </cdr:sp>
  </cdr:relSizeAnchor>
  <cdr:relSizeAnchor xmlns:cdr="http://schemas.openxmlformats.org/drawingml/2006/chartDrawing">
    <cdr:from>
      <cdr:x>0.2963</cdr:x>
      <cdr:y>0.8876</cdr:y>
    </cdr:from>
    <cdr:to>
      <cdr:x>0.44321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0207331-C7D8-5741-BFF2-6C48AF2FFD6F}"/>
            </a:ext>
          </a:extLst>
        </cdr:cNvPr>
        <cdr:cNvSpPr txBox="1"/>
      </cdr:nvSpPr>
      <cdr:spPr>
        <a:xfrm xmlns:a="http://schemas.openxmlformats.org/drawingml/2006/main">
          <a:off x="3048000" y="2908300"/>
          <a:ext cx="15113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- cysteine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0.60123</cdr:x>
      <cdr:y>0.88372</cdr:y>
    </cdr:from>
    <cdr:to>
      <cdr:x>0.9321</cdr:x>
      <cdr:y>0.88372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BF2B01B-0018-0D4D-A3E2-74C3D65343BA}"/>
            </a:ext>
          </a:extLst>
        </cdr:cNvPr>
        <cdr:cNvCxnSpPr/>
      </cdr:nvCxnSpPr>
      <cdr:spPr>
        <a:xfrm xmlns:a="http://schemas.openxmlformats.org/drawingml/2006/main">
          <a:off x="6184900" y="2895600"/>
          <a:ext cx="34036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0.1963</cdr:x>
      <cdr:y>0.88372</cdr:y>
    </cdr:from>
    <cdr:to>
      <cdr:x>0.52716</cdr:x>
      <cdr:y>0.88372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AFB3A23-19C3-E249-A04C-2ABA5C07C375}"/>
            </a:ext>
          </a:extLst>
        </cdr:cNvPr>
        <cdr:cNvCxnSpPr/>
      </cdr:nvCxnSpPr>
      <cdr:spPr>
        <a:xfrm xmlns:a="http://schemas.openxmlformats.org/drawingml/2006/main">
          <a:off x="2019300" y="2895600"/>
          <a:ext cx="34036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0.69877</cdr:x>
      <cdr:y>0.8876</cdr:y>
    </cdr:from>
    <cdr:to>
      <cdr:x>0.84568</cdr:x>
      <cdr:y>1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C919ED18-48AD-D340-BD25-1F1263817FA2}"/>
            </a:ext>
          </a:extLst>
        </cdr:cNvPr>
        <cdr:cNvSpPr txBox="1"/>
      </cdr:nvSpPr>
      <cdr:spPr>
        <a:xfrm xmlns:a="http://schemas.openxmlformats.org/drawingml/2006/main">
          <a:off x="7188200" y="2908300"/>
          <a:ext cx="15113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+ cysteine</a:t>
          </a:r>
        </a:p>
      </cdr:txBody>
    </cdr:sp>
  </cdr:relSizeAnchor>
  <cdr:relSizeAnchor xmlns:cdr="http://schemas.openxmlformats.org/drawingml/2006/chartDrawing">
    <cdr:from>
      <cdr:x>0.2963</cdr:x>
      <cdr:y>0.8876</cdr:y>
    </cdr:from>
    <cdr:to>
      <cdr:x>0.44321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90207331-C7D8-5741-BFF2-6C48AF2FFD6F}"/>
            </a:ext>
          </a:extLst>
        </cdr:cNvPr>
        <cdr:cNvSpPr txBox="1"/>
      </cdr:nvSpPr>
      <cdr:spPr>
        <a:xfrm xmlns:a="http://schemas.openxmlformats.org/drawingml/2006/main">
          <a:off x="3048000" y="2908300"/>
          <a:ext cx="15113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- cysteine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2"/>
  <sheetViews>
    <sheetView showRuler="0" topLeftCell="P1" zoomScale="125" zoomScaleNormal="125" zoomScalePageLayoutView="125" workbookViewId="0">
      <selection activeCell="P23" sqref="P23"/>
    </sheetView>
  </sheetViews>
  <sheetFormatPr defaultColWidth="10.6640625" defaultRowHeight="15.5" x14ac:dyDescent="0.35"/>
  <cols>
    <col min="1" max="1" width="2.6640625" bestFit="1" customWidth="1"/>
    <col min="2" max="3" width="14.6640625" customWidth="1"/>
    <col min="4" max="4" width="4.6640625" customWidth="1"/>
    <col min="5" max="6" width="14.6640625" customWidth="1"/>
    <col min="7" max="7" width="4.6640625" customWidth="1"/>
    <col min="8" max="9" width="14.6640625" customWidth="1"/>
    <col min="10" max="10" width="4.6640625" customWidth="1"/>
    <col min="11" max="11" width="14.6640625" customWidth="1"/>
    <col min="12" max="13" width="4.6640625" customWidth="1"/>
    <col min="14" max="14" width="3.5" customWidth="1"/>
    <col min="15" max="15" width="29.6640625" bestFit="1" customWidth="1"/>
    <col min="16" max="16" width="8.83203125" bestFit="1" customWidth="1"/>
    <col min="17" max="17" width="5" customWidth="1"/>
    <col min="18" max="18" width="10.83203125" customWidth="1"/>
    <col min="20" max="23" width="2.83203125" customWidth="1"/>
    <col min="24" max="24" width="10.83203125" customWidth="1"/>
    <col min="25" max="25" width="12" bestFit="1" customWidth="1"/>
    <col min="26" max="26" width="2.1640625" bestFit="1" customWidth="1"/>
    <col min="27" max="27" width="3.1640625" bestFit="1" customWidth="1"/>
    <col min="28" max="28" width="2.1640625" bestFit="1" customWidth="1"/>
    <col min="29" max="29" width="3.1640625" bestFit="1" customWidth="1"/>
    <col min="30" max="30" width="10.6640625" customWidth="1"/>
  </cols>
  <sheetData>
    <row r="1" spans="1:29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71</v>
      </c>
      <c r="S1" s="74" t="s">
        <v>112</v>
      </c>
      <c r="T1" s="74"/>
      <c r="U1" s="74"/>
      <c r="V1" s="74"/>
      <c r="W1" s="74"/>
      <c r="Y1" t="s">
        <v>113</v>
      </c>
    </row>
    <row r="2" spans="1:29" ht="31" x14ac:dyDescent="0.35">
      <c r="A2" s="4" t="s">
        <v>2</v>
      </c>
      <c r="B2" s="8" t="s">
        <v>30</v>
      </c>
      <c r="C2" s="8" t="s">
        <v>30</v>
      </c>
      <c r="D2" s="8"/>
      <c r="E2" s="5" t="s">
        <v>107</v>
      </c>
      <c r="F2" s="5" t="s">
        <v>107</v>
      </c>
      <c r="G2" s="61"/>
      <c r="H2" s="61" t="s">
        <v>108</v>
      </c>
      <c r="I2" s="61" t="s">
        <v>108</v>
      </c>
      <c r="J2" s="5"/>
      <c r="K2" s="5" t="s">
        <v>67</v>
      </c>
      <c r="L2" s="5"/>
      <c r="M2" s="5"/>
      <c r="O2" s="1" t="s">
        <v>4</v>
      </c>
      <c r="P2" s="6">
        <v>20000</v>
      </c>
      <c r="S2" s="35" t="s">
        <v>90</v>
      </c>
      <c r="T2" s="75" t="s">
        <v>91</v>
      </c>
      <c r="U2" s="75"/>
      <c r="V2" s="75"/>
      <c r="W2" s="75"/>
      <c r="Y2" s="69" t="s">
        <v>90</v>
      </c>
      <c r="Z2" s="75" t="s">
        <v>91</v>
      </c>
      <c r="AA2" s="75"/>
      <c r="AB2" s="75"/>
      <c r="AC2" s="75"/>
    </row>
    <row r="3" spans="1:29" x14ac:dyDescent="0.35">
      <c r="A3" s="4" t="s">
        <v>5</v>
      </c>
      <c r="B3" s="7"/>
      <c r="C3" s="1"/>
      <c r="D3" s="8"/>
      <c r="E3" s="8"/>
      <c r="F3" s="8"/>
      <c r="G3" s="8"/>
      <c r="H3" s="8"/>
      <c r="I3" s="8"/>
      <c r="J3" s="8"/>
      <c r="K3" s="8"/>
      <c r="L3" s="9"/>
      <c r="M3" s="1"/>
      <c r="O3" s="10" t="s">
        <v>6</v>
      </c>
      <c r="P3" s="10">
        <v>0.15</v>
      </c>
      <c r="S3" s="35">
        <v>1</v>
      </c>
      <c r="T3" s="1">
        <v>7</v>
      </c>
      <c r="U3" s="1">
        <v>8</v>
      </c>
      <c r="V3" s="1">
        <v>2</v>
      </c>
      <c r="W3" s="1">
        <v>0</v>
      </c>
      <c r="Y3" s="69">
        <v>1</v>
      </c>
      <c r="Z3" s="1">
        <v>4</v>
      </c>
      <c r="AA3" s="1">
        <v>3</v>
      </c>
      <c r="AB3" s="1">
        <v>0</v>
      </c>
      <c r="AC3" s="1">
        <v>6</v>
      </c>
    </row>
    <row r="4" spans="1:29" x14ac:dyDescent="0.35">
      <c r="A4" s="4" t="s">
        <v>7</v>
      </c>
      <c r="B4" s="5"/>
      <c r="C4" s="5"/>
      <c r="D4" s="5"/>
      <c r="E4" s="8"/>
      <c r="F4" s="5"/>
      <c r="G4" s="5"/>
      <c r="H4" s="5"/>
      <c r="I4" s="8"/>
      <c r="J4" s="5"/>
      <c r="K4" s="5"/>
      <c r="L4" s="5"/>
      <c r="M4" s="1"/>
      <c r="O4" s="1" t="s">
        <v>8</v>
      </c>
      <c r="P4" s="6">
        <f>P2/P3</f>
        <v>133333.33333333334</v>
      </c>
      <c r="S4" s="35">
        <v>2</v>
      </c>
      <c r="T4" s="1">
        <v>14</v>
      </c>
      <c r="U4" s="1">
        <v>16</v>
      </c>
      <c r="V4" s="1">
        <v>18</v>
      </c>
      <c r="W4" s="1">
        <v>12</v>
      </c>
      <c r="Y4" s="69">
        <v>2</v>
      </c>
      <c r="Z4" s="1">
        <v>6</v>
      </c>
      <c r="AA4" s="1">
        <v>1</v>
      </c>
      <c r="AB4" s="1">
        <v>0</v>
      </c>
      <c r="AC4" s="1">
        <v>0</v>
      </c>
    </row>
    <row r="5" spans="1:29" ht="31" x14ac:dyDescent="0.35">
      <c r="A5" s="4" t="s">
        <v>9</v>
      </c>
      <c r="B5" s="8" t="s">
        <v>30</v>
      </c>
      <c r="C5" s="8" t="s">
        <v>30</v>
      </c>
      <c r="D5" s="8"/>
      <c r="E5" s="5" t="s">
        <v>107</v>
      </c>
      <c r="F5" s="5" t="s">
        <v>107</v>
      </c>
      <c r="G5" s="61"/>
      <c r="H5" s="61" t="s">
        <v>108</v>
      </c>
      <c r="I5" s="61" t="s">
        <v>108</v>
      </c>
      <c r="J5" s="5"/>
      <c r="K5" s="5" t="s">
        <v>3</v>
      </c>
      <c r="M5" s="1"/>
      <c r="O5" s="1" t="s">
        <v>10</v>
      </c>
      <c r="P5" s="12">
        <v>5.25</v>
      </c>
      <c r="S5" s="35">
        <v>3</v>
      </c>
      <c r="T5" s="1">
        <v>21</v>
      </c>
      <c r="U5" s="1">
        <v>2</v>
      </c>
      <c r="V5" s="1">
        <v>3</v>
      </c>
      <c r="W5" s="1">
        <v>10</v>
      </c>
      <c r="Y5" s="69">
        <v>3</v>
      </c>
      <c r="Z5" s="1">
        <v>2</v>
      </c>
      <c r="AA5" s="1">
        <v>3</v>
      </c>
      <c r="AB5" s="1">
        <v>3</v>
      </c>
      <c r="AC5" s="1">
        <v>3</v>
      </c>
    </row>
    <row r="6" spans="1:29" x14ac:dyDescent="0.35">
      <c r="A6" s="4" t="s">
        <v>11</v>
      </c>
      <c r="B6" s="13"/>
      <c r="C6" s="11"/>
      <c r="D6" s="14"/>
      <c r="E6" s="9"/>
      <c r="F6" s="15"/>
      <c r="G6" s="15"/>
      <c r="H6" s="15"/>
      <c r="I6" s="9"/>
      <c r="J6" s="9"/>
      <c r="K6" s="9"/>
      <c r="L6" s="9"/>
      <c r="M6" s="1"/>
      <c r="O6" s="1" t="s">
        <v>12</v>
      </c>
      <c r="P6" s="6">
        <f>T8</f>
        <v>187500</v>
      </c>
      <c r="S6" s="35">
        <v>4</v>
      </c>
      <c r="T6" s="1">
        <v>6</v>
      </c>
      <c r="U6" s="1">
        <v>12</v>
      </c>
      <c r="V6" s="1">
        <v>16</v>
      </c>
      <c r="W6" s="1">
        <v>3</v>
      </c>
      <c r="Y6" s="69">
        <v>4</v>
      </c>
      <c r="Z6" s="1">
        <v>2</v>
      </c>
      <c r="AA6" s="1">
        <v>3</v>
      </c>
      <c r="AB6" s="1">
        <v>2</v>
      </c>
      <c r="AC6" s="1">
        <v>7</v>
      </c>
    </row>
    <row r="7" spans="1:29" x14ac:dyDescent="0.35">
      <c r="A7" s="4" t="s">
        <v>13</v>
      </c>
      <c r="B7" s="7"/>
      <c r="C7" s="9"/>
      <c r="D7" s="8"/>
      <c r="E7" s="9"/>
      <c r="F7" s="1"/>
      <c r="G7" s="53"/>
      <c r="H7" s="16"/>
      <c r="I7" s="53"/>
      <c r="J7" s="53"/>
      <c r="K7" s="53"/>
      <c r="L7" s="9"/>
      <c r="M7" s="1"/>
      <c r="O7" s="1" t="s">
        <v>14</v>
      </c>
      <c r="P7" s="37">
        <v>3.8</v>
      </c>
      <c r="Q7" s="19"/>
      <c r="S7" s="1" t="s">
        <v>92</v>
      </c>
      <c r="T7" s="76">
        <f>AVERAGE(T3:W6)</f>
        <v>9.375</v>
      </c>
      <c r="U7" s="76"/>
      <c r="V7" s="76"/>
      <c r="W7" s="76"/>
      <c r="Y7" s="69">
        <v>5</v>
      </c>
      <c r="Z7" s="1">
        <v>3</v>
      </c>
      <c r="AA7" s="1">
        <v>13</v>
      </c>
      <c r="AB7" s="1">
        <v>1</v>
      </c>
      <c r="AC7" s="1">
        <v>9</v>
      </c>
    </row>
    <row r="8" spans="1:29" x14ac:dyDescent="0.35">
      <c r="A8" s="4" t="s">
        <v>15</v>
      </c>
      <c r="B8" s="13"/>
      <c r="C8" s="11"/>
      <c r="D8" s="14"/>
      <c r="E8" s="14"/>
      <c r="F8" s="14"/>
      <c r="G8" s="14"/>
      <c r="H8" s="15"/>
      <c r="I8" s="1"/>
      <c r="J8" s="15"/>
      <c r="K8" s="15"/>
      <c r="L8" s="15"/>
      <c r="M8" s="15"/>
      <c r="O8" s="18" t="s">
        <v>16</v>
      </c>
      <c r="P8" s="37">
        <v>1.45</v>
      </c>
      <c r="S8" s="1" t="s">
        <v>93</v>
      </c>
      <c r="T8" s="77">
        <f>T7*2*10000</f>
        <v>187500</v>
      </c>
      <c r="U8" s="77"/>
      <c r="V8" s="77"/>
      <c r="W8" s="77"/>
      <c r="Y8" s="69">
        <v>6</v>
      </c>
      <c r="Z8" s="1">
        <v>5</v>
      </c>
      <c r="AA8" s="1">
        <v>3</v>
      </c>
      <c r="AB8" s="1">
        <v>0</v>
      </c>
      <c r="AC8" s="1">
        <v>5</v>
      </c>
    </row>
    <row r="9" spans="1:29" x14ac:dyDescent="0.35">
      <c r="A9" s="4" t="s">
        <v>17</v>
      </c>
      <c r="B9" s="13"/>
      <c r="C9" s="11"/>
      <c r="D9" s="14"/>
      <c r="E9" s="1"/>
      <c r="F9" s="1"/>
      <c r="G9" s="1"/>
      <c r="H9" s="6"/>
      <c r="I9" s="1"/>
      <c r="J9" s="1"/>
      <c r="K9" s="1"/>
      <c r="L9" s="1"/>
      <c r="M9" s="1"/>
      <c r="O9" s="18" t="s">
        <v>18</v>
      </c>
      <c r="P9" s="6">
        <f>Z10</f>
        <v>70000</v>
      </c>
      <c r="Y9" s="1" t="s">
        <v>92</v>
      </c>
      <c r="Z9" s="76">
        <f>AVERAGE(Z3:AC8)</f>
        <v>3.5</v>
      </c>
      <c r="AA9" s="76"/>
      <c r="AB9" s="76"/>
      <c r="AC9" s="76"/>
    </row>
    <row r="10" spans="1:29" x14ac:dyDescent="0.35">
      <c r="H10" s="19"/>
      <c r="O10" s="18" t="s">
        <v>19</v>
      </c>
      <c r="P10" s="6">
        <f>P9*0.15</f>
        <v>10500</v>
      </c>
      <c r="Y10" s="1" t="s">
        <v>93</v>
      </c>
      <c r="Z10" s="77">
        <f>Z9*2*10000</f>
        <v>70000</v>
      </c>
      <c r="AA10" s="77"/>
      <c r="AB10" s="77"/>
      <c r="AC10" s="77"/>
    </row>
    <row r="15" spans="1:29" x14ac:dyDescent="0.35">
      <c r="B15" s="20"/>
      <c r="C15" s="21"/>
      <c r="P15" t="s">
        <v>21</v>
      </c>
    </row>
    <row r="16" spans="1:29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71</v>
      </c>
    </row>
    <row r="17" spans="1:17" ht="31" x14ac:dyDescent="0.35">
      <c r="A17" s="4" t="s">
        <v>2</v>
      </c>
      <c r="B17" s="8" t="s">
        <v>30</v>
      </c>
      <c r="C17" s="8" t="s">
        <v>30</v>
      </c>
      <c r="D17" s="8"/>
      <c r="E17" s="5" t="s">
        <v>107</v>
      </c>
      <c r="F17" s="5" t="s">
        <v>107</v>
      </c>
      <c r="G17" s="61"/>
      <c r="H17" s="61" t="s">
        <v>108</v>
      </c>
      <c r="I17" s="61" t="s">
        <v>108</v>
      </c>
      <c r="J17" s="5"/>
      <c r="K17" s="5" t="s">
        <v>67</v>
      </c>
      <c r="L17" s="5"/>
      <c r="M17" s="5"/>
      <c r="O17" s="1" t="s">
        <v>22</v>
      </c>
      <c r="P17" s="23">
        <v>5</v>
      </c>
    </row>
    <row r="18" spans="1:17" x14ac:dyDescent="0.35">
      <c r="A18" s="4" t="s">
        <v>5</v>
      </c>
      <c r="B18" s="7"/>
      <c r="C18" s="1"/>
      <c r="D18" s="8"/>
      <c r="E18" s="8"/>
      <c r="F18" s="8"/>
      <c r="G18" s="8"/>
      <c r="H18" s="8"/>
      <c r="I18" s="8"/>
      <c r="J18" s="8"/>
      <c r="K18" s="8"/>
      <c r="L18" s="9"/>
      <c r="M18" s="1"/>
      <c r="O18" s="1" t="s">
        <v>23</v>
      </c>
      <c r="P18" s="24">
        <f>P10</f>
        <v>10500</v>
      </c>
    </row>
    <row r="19" spans="1:17" x14ac:dyDescent="0.35">
      <c r="A19" s="4" t="s">
        <v>7</v>
      </c>
      <c r="B19" s="5"/>
      <c r="C19" s="5"/>
      <c r="D19" s="5"/>
      <c r="E19" s="8"/>
      <c r="F19" s="5"/>
      <c r="G19" s="5"/>
      <c r="H19" s="5"/>
      <c r="I19" s="8"/>
      <c r="J19" s="5"/>
      <c r="K19" s="5"/>
      <c r="L19" s="5"/>
      <c r="M19" s="1"/>
      <c r="O19" s="1" t="s">
        <v>24</v>
      </c>
      <c r="P19" s="23">
        <v>0.05</v>
      </c>
    </row>
    <row r="20" spans="1:17" ht="16" customHeight="1" x14ac:dyDescent="0.35">
      <c r="A20" s="4" t="s">
        <v>9</v>
      </c>
      <c r="B20" s="8" t="s">
        <v>30</v>
      </c>
      <c r="C20" s="8" t="s">
        <v>30</v>
      </c>
      <c r="D20" s="8"/>
      <c r="E20" s="5" t="s">
        <v>107</v>
      </c>
      <c r="F20" s="5" t="s">
        <v>107</v>
      </c>
      <c r="G20" s="61"/>
      <c r="H20" s="61" t="s">
        <v>108</v>
      </c>
      <c r="I20" s="61" t="s">
        <v>108</v>
      </c>
      <c r="J20" s="5"/>
      <c r="K20" s="5" t="s">
        <v>3</v>
      </c>
      <c r="M20" s="1"/>
      <c r="O20" s="25" t="s">
        <v>25</v>
      </c>
      <c r="P20" s="24">
        <f>(P18*P17/P19)</f>
        <v>1050000</v>
      </c>
    </row>
    <row r="21" spans="1:17" x14ac:dyDescent="0.35">
      <c r="A21" s="4" t="s">
        <v>11</v>
      </c>
      <c r="B21" s="13"/>
      <c r="C21" s="11"/>
      <c r="D21" s="14"/>
      <c r="E21" s="9"/>
      <c r="F21" s="15"/>
      <c r="G21" s="15"/>
      <c r="H21" s="15"/>
      <c r="I21" s="9"/>
      <c r="J21" s="9"/>
      <c r="K21" s="9"/>
      <c r="L21" s="9"/>
      <c r="M21" s="1"/>
      <c r="O21" s="1" t="s">
        <v>26</v>
      </c>
      <c r="P21" s="24">
        <v>5810000000</v>
      </c>
    </row>
    <row r="22" spans="1:17" x14ac:dyDescent="0.35">
      <c r="A22" s="4" t="s">
        <v>13</v>
      </c>
      <c r="B22" s="7"/>
      <c r="C22" s="9"/>
      <c r="D22" s="8"/>
      <c r="E22" s="9"/>
      <c r="F22" s="1"/>
      <c r="G22" s="53"/>
      <c r="H22" s="16"/>
      <c r="I22" s="53"/>
      <c r="J22" s="53"/>
      <c r="K22" s="53"/>
      <c r="L22" s="9"/>
      <c r="M22" s="1"/>
      <c r="O22" s="1" t="s">
        <v>27</v>
      </c>
      <c r="P22" s="26">
        <f>P20/P21</f>
        <v>1.8072289156626507E-4</v>
      </c>
    </row>
    <row r="23" spans="1:17" x14ac:dyDescent="0.35">
      <c r="A23" s="4" t="s">
        <v>15</v>
      </c>
      <c r="B23" s="13"/>
      <c r="C23" s="11"/>
      <c r="D23" s="14"/>
      <c r="E23" s="14"/>
      <c r="F23" s="14"/>
      <c r="G23" s="14"/>
      <c r="H23" s="15"/>
      <c r="I23" s="1"/>
      <c r="J23" s="15"/>
      <c r="K23" s="15"/>
      <c r="L23" s="15"/>
      <c r="M23" s="15"/>
      <c r="O23" s="1" t="s">
        <v>28</v>
      </c>
      <c r="P23" s="27">
        <v>2.5000000000000001E-2</v>
      </c>
    </row>
    <row r="24" spans="1:17" x14ac:dyDescent="0.35">
      <c r="A24" s="4" t="s">
        <v>17</v>
      </c>
      <c r="B24" s="13"/>
      <c r="C24" s="11"/>
      <c r="D24" s="14"/>
      <c r="E24" s="1"/>
      <c r="F24" s="1"/>
      <c r="G24" s="1"/>
      <c r="H24" s="6"/>
      <c r="I24" s="1"/>
      <c r="J24" s="1"/>
      <c r="K24" s="1"/>
      <c r="L24" s="1"/>
      <c r="M24" s="1"/>
      <c r="O24" s="18" t="s">
        <v>29</v>
      </c>
      <c r="P24" s="1">
        <f>P23/100</f>
        <v>2.5000000000000001E-4</v>
      </c>
    </row>
    <row r="25" spans="1:17" x14ac:dyDescent="0.35">
      <c r="B25" s="20"/>
      <c r="C25" s="21"/>
      <c r="P25" s="28"/>
    </row>
    <row r="26" spans="1:17" ht="31" x14ac:dyDescent="0.35">
      <c r="D26" s="65" t="s">
        <v>110</v>
      </c>
      <c r="E26" s="68" t="s">
        <v>95</v>
      </c>
      <c r="F26" s="64" t="s">
        <v>111</v>
      </c>
    </row>
    <row r="27" spans="1:17" x14ac:dyDescent="0.35">
      <c r="D27" s="53">
        <v>1</v>
      </c>
      <c r="E27" s="66" t="s">
        <v>30</v>
      </c>
      <c r="F27" s="63" t="s">
        <v>40</v>
      </c>
    </row>
    <row r="28" spans="1:17" x14ac:dyDescent="0.35">
      <c r="D28" s="53">
        <v>2</v>
      </c>
      <c r="E28" s="66" t="s">
        <v>107</v>
      </c>
      <c r="F28" s="63" t="s">
        <v>40</v>
      </c>
    </row>
    <row r="29" spans="1:17" ht="31" x14ac:dyDescent="0.35">
      <c r="D29" s="53">
        <v>3</v>
      </c>
      <c r="E29" s="67" t="s">
        <v>108</v>
      </c>
      <c r="F29" s="63" t="s">
        <v>40</v>
      </c>
      <c r="Q29" s="19"/>
    </row>
    <row r="30" spans="1:17" x14ac:dyDescent="0.35">
      <c r="D30" s="53">
        <v>4</v>
      </c>
      <c r="E30" s="66" t="s">
        <v>30</v>
      </c>
      <c r="F30" s="63" t="s">
        <v>109</v>
      </c>
    </row>
    <row r="31" spans="1:17" x14ac:dyDescent="0.35">
      <c r="D31" s="53">
        <v>5</v>
      </c>
      <c r="E31" s="66" t="s">
        <v>107</v>
      </c>
      <c r="F31" s="63" t="s">
        <v>109</v>
      </c>
    </row>
    <row r="32" spans="1:17" ht="31" x14ac:dyDescent="0.35">
      <c r="D32" s="53">
        <v>6</v>
      </c>
      <c r="E32" s="67" t="s">
        <v>108</v>
      </c>
      <c r="F32" s="63" t="s">
        <v>109</v>
      </c>
    </row>
  </sheetData>
  <mergeCells count="7">
    <mergeCell ref="S1:W1"/>
    <mergeCell ref="Z2:AC2"/>
    <mergeCell ref="Z9:AC9"/>
    <mergeCell ref="Z10:AC10"/>
    <mergeCell ref="T2:W2"/>
    <mergeCell ref="T8:W8"/>
    <mergeCell ref="T7:W7"/>
  </mergeCells>
  <phoneticPr fontId="4" type="noConversion"/>
  <pageMargins left="0.75" right="0.75" top="1" bottom="1" header="0.5" footer="0.5"/>
  <pageSetup scale="37" orientation="landscape" horizontalDpi="4294967292" verticalDpi="4294967292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F39FB-D974-6844-94A3-99041B788F5B}">
  <dimension ref="A1:G5"/>
  <sheetViews>
    <sheetView workbookViewId="0">
      <selection activeCell="D15" sqref="D15"/>
    </sheetView>
  </sheetViews>
  <sheetFormatPr defaultColWidth="10.6640625" defaultRowHeight="15.5" x14ac:dyDescent="0.35"/>
  <cols>
    <col min="2" max="2" width="15" bestFit="1" customWidth="1"/>
    <col min="7" max="7" width="14.83203125" bestFit="1" customWidth="1"/>
  </cols>
  <sheetData>
    <row r="1" spans="1:7" x14ac:dyDescent="0.35">
      <c r="D1" s="78" t="s">
        <v>98</v>
      </c>
      <c r="E1" s="79"/>
    </row>
    <row r="2" spans="1:7" ht="46.5" x14ac:dyDescent="0.35">
      <c r="A2" s="53" t="s">
        <v>94</v>
      </c>
      <c r="B2" s="53" t="s">
        <v>95</v>
      </c>
      <c r="C2" s="15" t="s">
        <v>97</v>
      </c>
      <c r="D2" s="15" t="s">
        <v>100</v>
      </c>
      <c r="E2" s="15" t="s">
        <v>99</v>
      </c>
      <c r="F2" s="15" t="s">
        <v>96</v>
      </c>
      <c r="G2" s="15" t="s">
        <v>116</v>
      </c>
    </row>
    <row r="3" spans="1:7" x14ac:dyDescent="0.35">
      <c r="A3" s="53">
        <v>1</v>
      </c>
      <c r="B3" s="8" t="s">
        <v>30</v>
      </c>
      <c r="C3" s="1">
        <v>0.9</v>
      </c>
      <c r="D3" s="1">
        <v>36.1</v>
      </c>
      <c r="E3" s="1">
        <f>1300-D3</f>
        <v>1263.9000000000001</v>
      </c>
      <c r="F3" s="1">
        <v>1.9E-2</v>
      </c>
      <c r="G3" s="1">
        <v>12.5</v>
      </c>
    </row>
    <row r="4" spans="1:7" x14ac:dyDescent="0.35">
      <c r="A4" s="53">
        <v>2</v>
      </c>
      <c r="B4" s="61" t="s">
        <v>114</v>
      </c>
      <c r="C4" s="1">
        <v>1.1000000000000001</v>
      </c>
      <c r="D4" s="1">
        <v>29.5</v>
      </c>
      <c r="E4" s="1">
        <f t="shared" ref="E4:E5" si="0">1300-D4</f>
        <v>1270.5</v>
      </c>
      <c r="F4" s="1">
        <v>0.02</v>
      </c>
      <c r="G4" s="1">
        <v>12.5</v>
      </c>
    </row>
    <row r="5" spans="1:7" x14ac:dyDescent="0.35">
      <c r="A5" s="53">
        <v>3</v>
      </c>
      <c r="B5" s="61" t="s">
        <v>115</v>
      </c>
      <c r="C5" s="1">
        <v>1.27</v>
      </c>
      <c r="D5" s="1">
        <v>25.6</v>
      </c>
      <c r="E5" s="1">
        <f t="shared" si="0"/>
        <v>1274.4000000000001</v>
      </c>
      <c r="F5" s="1">
        <v>2.1000000000000001E-2</v>
      </c>
      <c r="G5" s="1">
        <v>12.5</v>
      </c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1241C-B9EC-2B46-8646-CFAE2A32F9BD}">
  <dimension ref="D11:P19"/>
  <sheetViews>
    <sheetView workbookViewId="0">
      <selection activeCell="D11" sqref="D11:P19"/>
    </sheetView>
  </sheetViews>
  <sheetFormatPr defaultColWidth="10.6640625" defaultRowHeight="15.5" x14ac:dyDescent="0.35"/>
  <cols>
    <col min="11" max="12" width="14.6640625" bestFit="1" customWidth="1"/>
  </cols>
  <sheetData>
    <row r="11" spans="4:16" ht="16" thickBot="1" x14ac:dyDescent="0.4">
      <c r="D11" s="1" t="s">
        <v>0</v>
      </c>
      <c r="E11" s="2">
        <v>1</v>
      </c>
      <c r="F11" s="2">
        <v>2</v>
      </c>
      <c r="G11" s="2">
        <v>3</v>
      </c>
      <c r="H11" s="2">
        <v>4</v>
      </c>
      <c r="I11" s="2">
        <v>5</v>
      </c>
      <c r="J11" s="2">
        <v>6</v>
      </c>
      <c r="K11" s="2">
        <v>7</v>
      </c>
      <c r="L11" s="2">
        <v>8</v>
      </c>
      <c r="M11" s="2">
        <v>9</v>
      </c>
      <c r="N11" s="2">
        <v>10</v>
      </c>
      <c r="O11" s="2">
        <v>11</v>
      </c>
      <c r="P11" s="2">
        <v>12</v>
      </c>
    </row>
    <row r="12" spans="4:16" x14ac:dyDescent="0.35">
      <c r="D12" s="4" t="s">
        <v>2</v>
      </c>
      <c r="E12" s="8" t="s">
        <v>30</v>
      </c>
      <c r="F12" s="8" t="s">
        <v>30</v>
      </c>
      <c r="G12" s="8"/>
      <c r="H12" s="5" t="s">
        <v>105</v>
      </c>
      <c r="I12" s="5" t="s">
        <v>105</v>
      </c>
      <c r="J12" s="61"/>
      <c r="K12" s="61" t="s">
        <v>106</v>
      </c>
      <c r="L12" s="61" t="s">
        <v>106</v>
      </c>
      <c r="M12" s="5"/>
      <c r="N12" s="5" t="s">
        <v>67</v>
      </c>
      <c r="O12" s="5"/>
      <c r="P12" s="5"/>
    </row>
    <row r="13" spans="4:16" x14ac:dyDescent="0.35">
      <c r="D13" s="4" t="s">
        <v>5</v>
      </c>
      <c r="E13" s="7"/>
      <c r="F13" s="1"/>
      <c r="G13" s="8"/>
      <c r="H13" s="8"/>
      <c r="I13" s="8"/>
      <c r="J13" s="8"/>
      <c r="K13" s="8"/>
      <c r="L13" s="8"/>
      <c r="M13" s="8"/>
      <c r="N13" s="8"/>
      <c r="O13" s="9"/>
      <c r="P13" s="1"/>
    </row>
    <row r="14" spans="4:16" x14ac:dyDescent="0.35">
      <c r="D14" s="4" t="s">
        <v>7</v>
      </c>
      <c r="E14" s="5"/>
      <c r="F14" s="5"/>
      <c r="G14" s="5"/>
      <c r="H14" s="8"/>
      <c r="I14" s="5"/>
      <c r="J14" s="5"/>
      <c r="K14" s="5"/>
      <c r="L14" s="8"/>
      <c r="M14" s="5"/>
      <c r="N14" s="5"/>
      <c r="O14" s="5"/>
      <c r="P14" s="1"/>
    </row>
    <row r="15" spans="4:16" x14ac:dyDescent="0.35">
      <c r="D15" s="4" t="s">
        <v>9</v>
      </c>
      <c r="E15" s="8" t="s">
        <v>30</v>
      </c>
      <c r="F15" s="8" t="s">
        <v>30</v>
      </c>
      <c r="G15" s="8"/>
      <c r="H15" s="5" t="s">
        <v>105</v>
      </c>
      <c r="I15" s="5" t="s">
        <v>105</v>
      </c>
      <c r="J15" s="61"/>
      <c r="K15" s="61" t="s">
        <v>106</v>
      </c>
      <c r="L15" s="61" t="s">
        <v>106</v>
      </c>
      <c r="M15" s="5"/>
      <c r="N15" s="5" t="s">
        <v>3</v>
      </c>
      <c r="P15" s="1"/>
    </row>
    <row r="16" spans="4:16" x14ac:dyDescent="0.35">
      <c r="D16" s="4" t="s">
        <v>11</v>
      </c>
      <c r="E16" s="13"/>
      <c r="F16" s="11"/>
      <c r="G16" s="14"/>
      <c r="H16" s="9"/>
      <c r="I16" s="15"/>
      <c r="J16" s="15"/>
      <c r="K16" s="15"/>
      <c r="L16" s="9"/>
      <c r="M16" s="9"/>
      <c r="N16" s="9"/>
      <c r="O16" s="9"/>
      <c r="P16" s="1"/>
    </row>
    <row r="17" spans="4:16" x14ac:dyDescent="0.35">
      <c r="D17" s="4" t="s">
        <v>13</v>
      </c>
      <c r="E17" s="7"/>
      <c r="F17" s="9"/>
      <c r="G17" s="8"/>
      <c r="H17" s="9"/>
      <c r="I17" s="1"/>
      <c r="J17" s="53"/>
      <c r="K17" s="16"/>
      <c r="L17" s="53"/>
      <c r="M17" s="53"/>
      <c r="N17" s="53"/>
      <c r="O17" s="9"/>
      <c r="P17" s="1"/>
    </row>
    <row r="18" spans="4:16" x14ac:dyDescent="0.35">
      <c r="D18" s="4" t="s">
        <v>15</v>
      </c>
      <c r="E18" s="13"/>
      <c r="F18" s="11"/>
      <c r="G18" s="14"/>
      <c r="H18" s="14"/>
      <c r="I18" s="14"/>
      <c r="J18" s="14"/>
      <c r="K18" s="15"/>
      <c r="L18" s="1"/>
      <c r="M18" s="15"/>
      <c r="N18" s="15"/>
      <c r="O18" s="15"/>
      <c r="P18" s="15"/>
    </row>
    <row r="19" spans="4:16" x14ac:dyDescent="0.35">
      <c r="D19" s="4" t="s">
        <v>17</v>
      </c>
      <c r="E19" s="13"/>
      <c r="F19" s="11"/>
      <c r="G19" s="14"/>
      <c r="H19" s="1"/>
      <c r="I19" s="1"/>
      <c r="J19" s="1"/>
      <c r="K19" s="6"/>
      <c r="L19" s="1"/>
      <c r="M19" s="1"/>
      <c r="N19" s="1"/>
      <c r="O19" s="1"/>
      <c r="P1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B5" sqref="B5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80" t="s">
        <v>73</v>
      </c>
      <c r="C1" s="80"/>
    </row>
    <row r="2" spans="1:4" x14ac:dyDescent="0.35">
      <c r="A2" s="29" t="s">
        <v>88</v>
      </c>
      <c r="B2" s="57" t="s">
        <v>75</v>
      </c>
      <c r="C2" s="57" t="s">
        <v>76</v>
      </c>
      <c r="D2" s="29" t="s">
        <v>79</v>
      </c>
    </row>
    <row r="3" spans="1:4" x14ac:dyDescent="0.35">
      <c r="A3" s="1" t="s">
        <v>74</v>
      </c>
      <c r="B3" s="23">
        <v>8</v>
      </c>
      <c r="C3" s="58"/>
      <c r="D3" s="1" t="s">
        <v>80</v>
      </c>
    </row>
    <row r="4" spans="1:4" x14ac:dyDescent="0.35">
      <c r="A4" s="1" t="s">
        <v>77</v>
      </c>
      <c r="B4" s="23">
        <v>0</v>
      </c>
      <c r="C4" s="58">
        <v>8</v>
      </c>
      <c r="D4" s="1" t="s">
        <v>81</v>
      </c>
    </row>
    <row r="5" spans="1:4" x14ac:dyDescent="0.35">
      <c r="A5" s="1" t="s">
        <v>78</v>
      </c>
      <c r="B5" s="23">
        <v>26</v>
      </c>
      <c r="C5" s="58"/>
      <c r="D5" s="1" t="s">
        <v>82</v>
      </c>
    </row>
    <row r="6" spans="1:4" ht="31" x14ac:dyDescent="0.35">
      <c r="A6" s="1" t="s">
        <v>83</v>
      </c>
      <c r="B6" s="23">
        <v>12</v>
      </c>
      <c r="C6" s="58">
        <v>12</v>
      </c>
      <c r="D6" s="25" t="s">
        <v>89</v>
      </c>
    </row>
    <row r="7" spans="1:4" x14ac:dyDescent="0.35">
      <c r="A7" s="29" t="s">
        <v>84</v>
      </c>
      <c r="B7" s="44">
        <f>SUM(B3:B6)</f>
        <v>46</v>
      </c>
      <c r="C7" s="60">
        <f>SUM(C3:C6)</f>
        <v>20</v>
      </c>
      <c r="D7" s="1"/>
    </row>
    <row r="8" spans="1:4" x14ac:dyDescent="0.35">
      <c r="A8" s="1" t="s">
        <v>85</v>
      </c>
      <c r="B8" s="23">
        <f>B7/25</f>
        <v>1.84</v>
      </c>
      <c r="C8" s="58">
        <f>C7/20</f>
        <v>1</v>
      </c>
      <c r="D8" s="1" t="s">
        <v>87</v>
      </c>
    </row>
    <row r="9" spans="1:4" x14ac:dyDescent="0.35">
      <c r="A9" s="29" t="s">
        <v>86</v>
      </c>
      <c r="B9" s="44">
        <f>SUM(B8:C8)</f>
        <v>2.84</v>
      </c>
      <c r="C9" s="59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tabSelected="1" showRuler="0" topLeftCell="A18" workbookViewId="0">
      <selection activeCell="O21" sqref="O21"/>
    </sheetView>
  </sheetViews>
  <sheetFormatPr defaultColWidth="10.6640625" defaultRowHeight="15.5" x14ac:dyDescent="0.35"/>
  <cols>
    <col min="1" max="1" width="23.5" bestFit="1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4" x14ac:dyDescent="0.35">
      <c r="A1" s="29" t="s">
        <v>31</v>
      </c>
      <c r="B1" s="30"/>
      <c r="C1" s="81"/>
      <c r="D1" s="81"/>
      <c r="E1" s="81"/>
      <c r="F1" s="81"/>
      <c r="G1" s="20"/>
      <c r="H1" s="20"/>
      <c r="I1" s="20"/>
      <c r="J1" s="20"/>
      <c r="K1" s="20"/>
      <c r="L1" s="20"/>
      <c r="M1" s="20"/>
      <c r="N1" s="20"/>
    </row>
    <row r="2" spans="1:14" ht="46.5" x14ac:dyDescent="0.35">
      <c r="A2" s="29"/>
      <c r="B2" s="31" t="s">
        <v>32</v>
      </c>
      <c r="C2" s="29">
        <v>1</v>
      </c>
      <c r="D2" s="29">
        <v>2</v>
      </c>
      <c r="E2" s="32">
        <v>3</v>
      </c>
      <c r="F2" s="29">
        <v>4</v>
      </c>
      <c r="G2" s="33" t="s">
        <v>33</v>
      </c>
      <c r="H2" s="33" t="s">
        <v>34</v>
      </c>
      <c r="I2" s="33" t="s">
        <v>35</v>
      </c>
      <c r="J2" s="33" t="s">
        <v>36</v>
      </c>
      <c r="K2" s="33" t="s">
        <v>49</v>
      </c>
      <c r="L2" s="33" t="s">
        <v>36</v>
      </c>
      <c r="M2" s="34" t="s">
        <v>72</v>
      </c>
    </row>
    <row r="3" spans="1:14" x14ac:dyDescent="0.35">
      <c r="A3" s="84" t="s">
        <v>30</v>
      </c>
      <c r="B3" s="35" t="s">
        <v>38</v>
      </c>
      <c r="C3" s="23"/>
      <c r="D3" s="23"/>
      <c r="E3" s="23"/>
      <c r="F3" s="36">
        <v>20</v>
      </c>
      <c r="G3" s="23">
        <v>1E-3</v>
      </c>
      <c r="H3" s="24">
        <f>F3/(G3*0.01)</f>
        <v>1999999.9999999998</v>
      </c>
      <c r="I3" s="6">
        <f>AVERAGE(H3:H5)</f>
        <v>2033333.3333333333</v>
      </c>
      <c r="J3" s="6">
        <f>STDEV(H3:H5)</f>
        <v>251661.14784235574</v>
      </c>
      <c r="K3" s="6">
        <f>I3*0.05</f>
        <v>101666.66666666667</v>
      </c>
      <c r="L3" s="6">
        <f>J3*0.05</f>
        <v>12583.057392117787</v>
      </c>
      <c r="M3" s="37">
        <f>K3/10500</f>
        <v>9.6825396825396837</v>
      </c>
    </row>
    <row r="4" spans="1:14" x14ac:dyDescent="0.35">
      <c r="A4" s="84"/>
      <c r="B4" s="70" t="s">
        <v>41</v>
      </c>
      <c r="C4" s="23"/>
      <c r="D4" s="23"/>
      <c r="E4" s="23"/>
      <c r="F4" s="36">
        <v>18</v>
      </c>
      <c r="G4" s="23">
        <v>1E-3</v>
      </c>
      <c r="H4" s="24">
        <f t="shared" ref="H4" si="0">F4/(G4*0.01)</f>
        <v>1799999.9999999998</v>
      </c>
      <c r="I4" s="38"/>
      <c r="J4" s="38"/>
      <c r="K4" s="6"/>
      <c r="L4" s="6"/>
      <c r="M4" s="37"/>
    </row>
    <row r="5" spans="1:14" x14ac:dyDescent="0.35">
      <c r="A5" s="84"/>
      <c r="B5" s="35" t="s">
        <v>64</v>
      </c>
      <c r="C5" s="23"/>
      <c r="D5" s="23"/>
      <c r="E5" s="23"/>
      <c r="F5" s="36">
        <v>23</v>
      </c>
      <c r="G5" s="23">
        <v>1E-3</v>
      </c>
      <c r="H5" s="24">
        <f t="shared" ref="H5:H10" si="1">F5/(G5*0.01)</f>
        <v>2300000</v>
      </c>
      <c r="I5" s="38"/>
      <c r="J5" s="38"/>
      <c r="K5" s="6"/>
      <c r="L5" s="6"/>
      <c r="M5" s="37"/>
    </row>
    <row r="6" spans="1:14" x14ac:dyDescent="0.35">
      <c r="A6" s="82" t="s">
        <v>117</v>
      </c>
      <c r="B6" s="39" t="s">
        <v>42</v>
      </c>
      <c r="C6" s="23">
        <v>2</v>
      </c>
      <c r="D6" s="23"/>
      <c r="E6" s="23"/>
      <c r="F6" s="36"/>
      <c r="G6" s="23">
        <v>1</v>
      </c>
      <c r="H6" s="24">
        <f>C6/(G6*0.01)</f>
        <v>200</v>
      </c>
      <c r="I6" s="6">
        <f>AVERAGE(H6:H7)</f>
        <v>250</v>
      </c>
      <c r="J6" s="6">
        <f>STDEV(H6:H7)</f>
        <v>70.710678118654755</v>
      </c>
      <c r="K6" s="6">
        <f>I6*0.05</f>
        <v>12.5</v>
      </c>
      <c r="L6" s="6">
        <f>J6*0.05</f>
        <v>3.5355339059327378</v>
      </c>
      <c r="M6" s="37">
        <f>K6/10500</f>
        <v>1.1904761904761906E-3</v>
      </c>
    </row>
    <row r="7" spans="1:14" x14ac:dyDescent="0.35">
      <c r="A7" s="83"/>
      <c r="B7" s="39" t="s">
        <v>43</v>
      </c>
      <c r="C7" s="23">
        <v>3</v>
      </c>
      <c r="D7" s="23"/>
      <c r="E7" s="23"/>
      <c r="F7" s="36"/>
      <c r="G7" s="23">
        <v>1</v>
      </c>
      <c r="H7" s="24">
        <f>C7/(G7*0.01)</f>
        <v>300</v>
      </c>
      <c r="I7" s="38"/>
      <c r="J7" s="38"/>
      <c r="K7" s="6"/>
      <c r="L7" s="6"/>
      <c r="M7" s="37"/>
    </row>
    <row r="8" spans="1:14" x14ac:dyDescent="0.35">
      <c r="A8" s="83" t="s">
        <v>118</v>
      </c>
      <c r="B8" s="39" t="s">
        <v>44</v>
      </c>
      <c r="C8" s="23"/>
      <c r="D8" s="23"/>
      <c r="E8" s="23"/>
      <c r="F8" s="36">
        <v>25</v>
      </c>
      <c r="G8" s="23">
        <v>1E-3</v>
      </c>
      <c r="H8" s="24">
        <f>F8/(G8*0.01)</f>
        <v>2500000</v>
      </c>
      <c r="I8" s="6">
        <f>AVERAGE(H8:H10)</f>
        <v>2633333.3333333335</v>
      </c>
      <c r="J8" s="6">
        <f>STDEV(H8:H10)</f>
        <v>152752.52316519467</v>
      </c>
      <c r="K8" s="6">
        <f>I8*0.05</f>
        <v>131666.66666666669</v>
      </c>
      <c r="L8" s="6">
        <f>J8*0.05</f>
        <v>7637.6261582597335</v>
      </c>
      <c r="M8" s="37">
        <f>K8/10500</f>
        <v>12.539682539682541</v>
      </c>
    </row>
    <row r="9" spans="1:14" x14ac:dyDescent="0.35">
      <c r="A9" s="83"/>
      <c r="B9" s="39" t="s">
        <v>45</v>
      </c>
      <c r="C9" s="23"/>
      <c r="D9" s="23"/>
      <c r="E9" s="23"/>
      <c r="F9" s="36">
        <v>26</v>
      </c>
      <c r="G9" s="23">
        <v>1E-3</v>
      </c>
      <c r="H9" s="24">
        <f t="shared" ref="H9" si="2">F9/(G9*0.01)</f>
        <v>2600000</v>
      </c>
      <c r="I9" s="38"/>
      <c r="J9" s="38"/>
      <c r="K9" s="6"/>
      <c r="L9" s="6"/>
      <c r="M9" s="37"/>
    </row>
    <row r="10" spans="1:14" x14ac:dyDescent="0.35">
      <c r="A10" s="83"/>
      <c r="B10" s="39" t="s">
        <v>101</v>
      </c>
      <c r="C10" s="23"/>
      <c r="D10" s="23"/>
      <c r="E10" s="23"/>
      <c r="F10" s="36">
        <v>28</v>
      </c>
      <c r="G10" s="23">
        <v>1E-3</v>
      </c>
      <c r="H10" s="24">
        <f t="shared" si="1"/>
        <v>2800000</v>
      </c>
      <c r="I10" s="38"/>
      <c r="J10" s="38"/>
      <c r="K10" s="6"/>
      <c r="L10" s="6"/>
      <c r="M10" s="37"/>
    </row>
    <row r="11" spans="1:14" ht="16" customHeight="1" x14ac:dyDescent="0.35">
      <c r="A11" s="84" t="s">
        <v>119</v>
      </c>
      <c r="B11" s="70" t="s">
        <v>38</v>
      </c>
      <c r="C11" s="23"/>
      <c r="D11" s="23"/>
      <c r="E11" s="23"/>
      <c r="F11" s="36">
        <v>20</v>
      </c>
      <c r="G11" s="23">
        <v>1E-3</v>
      </c>
      <c r="H11" s="24">
        <f>F11/(G11*0.01)</f>
        <v>1999999.9999999998</v>
      </c>
      <c r="I11" s="6">
        <f>AVERAGE(H11:H12)</f>
        <v>1999999.9999999998</v>
      </c>
      <c r="J11" s="6">
        <f>STDEV(H11:H12)</f>
        <v>0</v>
      </c>
      <c r="K11" s="6">
        <f>I11*0.05</f>
        <v>100000</v>
      </c>
      <c r="L11" s="6">
        <f>J11*0.05</f>
        <v>0</v>
      </c>
      <c r="M11" s="37">
        <f>K11/10500</f>
        <v>9.5238095238095237</v>
      </c>
    </row>
    <row r="12" spans="1:14" x14ac:dyDescent="0.35">
      <c r="A12" s="84"/>
      <c r="B12" s="70" t="s">
        <v>41</v>
      </c>
      <c r="C12" s="23"/>
      <c r="D12" s="23"/>
      <c r="E12" s="23"/>
      <c r="F12" s="36">
        <v>20</v>
      </c>
      <c r="G12" s="23">
        <v>1E-3</v>
      </c>
      <c r="H12" s="24">
        <f t="shared" ref="H12:H16" si="3">F12/(G12*0.01)</f>
        <v>1999999.9999999998</v>
      </c>
      <c r="I12" s="38"/>
      <c r="J12" s="38"/>
      <c r="K12" s="6"/>
      <c r="L12" s="6"/>
      <c r="M12" s="37"/>
    </row>
    <row r="13" spans="1:14" ht="16" customHeight="1" x14ac:dyDescent="0.35">
      <c r="A13" s="82" t="s">
        <v>120</v>
      </c>
      <c r="B13" s="39" t="s">
        <v>42</v>
      </c>
      <c r="C13" s="23">
        <v>5</v>
      </c>
      <c r="D13" s="23"/>
      <c r="E13" s="23"/>
      <c r="F13" s="36"/>
      <c r="G13" s="23">
        <v>1</v>
      </c>
      <c r="H13" s="24">
        <f>C13/(G13*0.01)</f>
        <v>500</v>
      </c>
      <c r="I13" s="6">
        <f>AVERAGE(H13:H14)</f>
        <v>350</v>
      </c>
      <c r="J13" s="6">
        <f>STDEV(H13:H14)</f>
        <v>212.13203435596427</v>
      </c>
      <c r="K13" s="6">
        <f>I13*0.05</f>
        <v>17.5</v>
      </c>
      <c r="L13" s="6">
        <f>J13*0.05</f>
        <v>10.606601717798213</v>
      </c>
      <c r="M13" s="37">
        <f>K13/10500</f>
        <v>1.6666666666666668E-3</v>
      </c>
    </row>
    <row r="14" spans="1:14" x14ac:dyDescent="0.35">
      <c r="A14" s="83"/>
      <c r="B14" s="39" t="s">
        <v>43</v>
      </c>
      <c r="C14" s="23">
        <v>2</v>
      </c>
      <c r="D14" s="23"/>
      <c r="E14" s="23"/>
      <c r="F14" s="36"/>
      <c r="G14" s="23">
        <v>1</v>
      </c>
      <c r="H14" s="24">
        <f>C14/(G14*0.01)</f>
        <v>200</v>
      </c>
      <c r="I14" s="38"/>
      <c r="J14" s="38"/>
      <c r="K14" s="6"/>
      <c r="L14" s="6"/>
      <c r="M14" s="37"/>
    </row>
    <row r="15" spans="1:14" ht="16" customHeight="1" x14ac:dyDescent="0.35">
      <c r="A15" s="83" t="s">
        <v>121</v>
      </c>
      <c r="B15" s="39" t="s">
        <v>44</v>
      </c>
      <c r="C15" s="23"/>
      <c r="D15" s="23"/>
      <c r="E15" s="23"/>
      <c r="F15" s="36">
        <v>27</v>
      </c>
      <c r="G15" s="23">
        <v>1E-3</v>
      </c>
      <c r="H15" s="24">
        <f t="shared" si="3"/>
        <v>2700000</v>
      </c>
      <c r="I15" s="6">
        <f>AVERAGE(H15:H16)</f>
        <v>2950000</v>
      </c>
      <c r="J15" s="6">
        <f>STDEV(H15:H16)</f>
        <v>353553.39059327339</v>
      </c>
      <c r="K15" s="6">
        <f>I15*0.05</f>
        <v>147500</v>
      </c>
      <c r="L15" s="6">
        <f>J15*0.05</f>
        <v>17677.669529663672</v>
      </c>
      <c r="M15" s="37">
        <f>K15/10500</f>
        <v>14.047619047619047</v>
      </c>
    </row>
    <row r="16" spans="1:14" x14ac:dyDescent="0.35">
      <c r="A16" s="83"/>
      <c r="B16" s="39" t="s">
        <v>45</v>
      </c>
      <c r="C16" s="23"/>
      <c r="D16" s="23"/>
      <c r="E16" s="23"/>
      <c r="F16" s="36">
        <v>32</v>
      </c>
      <c r="G16" s="23">
        <v>1E-3</v>
      </c>
      <c r="H16" s="24">
        <f t="shared" si="3"/>
        <v>3199999.9999999995</v>
      </c>
      <c r="I16" s="38"/>
      <c r="J16" s="38"/>
      <c r="K16" s="6"/>
      <c r="L16" s="6"/>
      <c r="M16" s="37"/>
    </row>
    <row r="17" spans="1:6" x14ac:dyDescent="0.35">
      <c r="A17" s="1" t="s">
        <v>48</v>
      </c>
      <c r="B17" s="1"/>
      <c r="C17" s="1">
        <v>1</v>
      </c>
      <c r="D17" s="1">
        <f>C17/10</f>
        <v>0.1</v>
      </c>
      <c r="E17" s="1">
        <f t="shared" ref="E17:F17" si="4">D17/10</f>
        <v>0.01</v>
      </c>
      <c r="F17" s="1">
        <f t="shared" si="4"/>
        <v>1E-3</v>
      </c>
    </row>
    <row r="19" spans="1:6" x14ac:dyDescent="0.35">
      <c r="A19" s="1"/>
      <c r="B19" s="1" t="s">
        <v>49</v>
      </c>
      <c r="C19" s="1" t="s">
        <v>36</v>
      </c>
    </row>
    <row r="20" spans="1:6" x14ac:dyDescent="0.35">
      <c r="A20" s="8" t="s">
        <v>30</v>
      </c>
      <c r="B20" s="6">
        <f>K3</f>
        <v>101666.66666666667</v>
      </c>
      <c r="C20" s="6">
        <f>L3</f>
        <v>12583.057392117787</v>
      </c>
    </row>
    <row r="21" spans="1:6" x14ac:dyDescent="0.35">
      <c r="A21" s="61" t="s">
        <v>114</v>
      </c>
      <c r="B21" s="6">
        <f>K6</f>
        <v>12.5</v>
      </c>
      <c r="C21" s="6">
        <f>L6</f>
        <v>3.5355339059327378</v>
      </c>
    </row>
    <row r="22" spans="1:6" x14ac:dyDescent="0.35">
      <c r="A22" s="61" t="s">
        <v>115</v>
      </c>
      <c r="B22" s="6">
        <f>K8</f>
        <v>131666.66666666669</v>
      </c>
      <c r="C22" s="6">
        <f>L8</f>
        <v>7637.6261582597335</v>
      </c>
    </row>
    <row r="23" spans="1:6" x14ac:dyDescent="0.35">
      <c r="A23" s="8" t="s">
        <v>119</v>
      </c>
      <c r="B23" s="6">
        <f>K11</f>
        <v>100000</v>
      </c>
      <c r="C23" s="6">
        <f>L11</f>
        <v>0</v>
      </c>
    </row>
    <row r="24" spans="1:6" x14ac:dyDescent="0.35">
      <c r="A24" s="61" t="s">
        <v>122</v>
      </c>
      <c r="B24" s="6">
        <f>K13</f>
        <v>17.5</v>
      </c>
      <c r="C24" s="6">
        <f>L13</f>
        <v>10.606601717798213</v>
      </c>
    </row>
    <row r="25" spans="1:6" x14ac:dyDescent="0.35">
      <c r="A25" s="61" t="s">
        <v>123</v>
      </c>
      <c r="B25" s="6">
        <f>K15</f>
        <v>147500</v>
      </c>
      <c r="C25" s="6">
        <f>L15</f>
        <v>17677.669529663672</v>
      </c>
    </row>
  </sheetData>
  <mergeCells count="7">
    <mergeCell ref="C1:F1"/>
    <mergeCell ref="A13:A14"/>
    <mergeCell ref="A15:A16"/>
    <mergeCell ref="A6:A7"/>
    <mergeCell ref="A3:A5"/>
    <mergeCell ref="A8:A10"/>
    <mergeCell ref="A11:A12"/>
  </mergeCells>
  <phoneticPr fontId="4" type="noConversion"/>
  <pageMargins left="0.75" right="0.75" top="1" bottom="1" header="0.5" footer="0.5"/>
  <pageSetup scale="7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1"/>
  <sheetViews>
    <sheetView showRuler="0" topLeftCell="A2" zoomScale="110" zoomScaleNormal="110" workbookViewId="0">
      <selection activeCell="G3" sqref="G3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23.5" bestFit="1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40"/>
      <c r="B1" s="40"/>
      <c r="C1" s="20"/>
      <c r="E1" s="41"/>
      <c r="F1" s="41"/>
      <c r="G1" s="30"/>
      <c r="H1" s="52"/>
      <c r="I1" s="30"/>
      <c r="J1" s="42"/>
      <c r="K1" s="42"/>
      <c r="L1" s="43"/>
      <c r="M1" s="43"/>
    </row>
    <row r="2" spans="1:25" ht="46.5" x14ac:dyDescent="0.35">
      <c r="A2" s="29"/>
      <c r="B2" s="54" t="s">
        <v>50</v>
      </c>
      <c r="C2" s="54" t="s">
        <v>51</v>
      </c>
      <c r="D2" s="54" t="s">
        <v>52</v>
      </c>
      <c r="E2" s="22" t="s">
        <v>33</v>
      </c>
      <c r="F2" s="22" t="s">
        <v>53</v>
      </c>
      <c r="G2" s="22" t="s">
        <v>37</v>
      </c>
      <c r="H2" s="22" t="s">
        <v>62</v>
      </c>
      <c r="J2" s="1"/>
      <c r="K2" s="33" t="s">
        <v>54</v>
      </c>
      <c r="L2" s="29" t="s">
        <v>55</v>
      </c>
      <c r="M2" s="62" t="s">
        <v>56</v>
      </c>
      <c r="N2" s="48" t="s">
        <v>62</v>
      </c>
      <c r="O2" s="22" t="s">
        <v>63</v>
      </c>
    </row>
    <row r="3" spans="1:25" x14ac:dyDescent="0.35">
      <c r="A3" s="85" t="s">
        <v>30</v>
      </c>
      <c r="B3" s="51" t="s">
        <v>38</v>
      </c>
      <c r="C3" s="44">
        <v>17</v>
      </c>
      <c r="D3" s="44">
        <v>10</v>
      </c>
      <c r="E3" s="23">
        <v>1</v>
      </c>
      <c r="F3" s="38">
        <f t="shared" ref="F3:F8" si="0">AVERAGE(C3,D3)</f>
        <v>13.5</v>
      </c>
      <c r="G3" s="6">
        <f>(F3/(0.075*E3))*0.2</f>
        <v>36</v>
      </c>
      <c r="H3" s="86">
        <f>TTEST(G3:G4,G3:G4,2,2)</f>
        <v>1</v>
      </c>
      <c r="I3" s="19"/>
      <c r="J3" s="8" t="s">
        <v>30</v>
      </c>
      <c r="K3" s="6">
        <f>AVERAGE(G3:G4)</f>
        <v>33.333333333333336</v>
      </c>
      <c r="L3" s="6">
        <f>STDEV(G3:G4)</f>
        <v>3.7712361663282499</v>
      </c>
      <c r="M3" s="37">
        <v>9.6825396825396837</v>
      </c>
      <c r="N3" s="72"/>
      <c r="O3" s="17">
        <f>IF(K3/$K$3&gt;=1,K3/$K$3,-$K$3/K3)</f>
        <v>1</v>
      </c>
      <c r="T3" s="19"/>
      <c r="U3" s="19"/>
      <c r="V3" s="19"/>
      <c r="W3" s="19"/>
      <c r="X3" s="19"/>
      <c r="Y3" s="19"/>
    </row>
    <row r="4" spans="1:25" x14ac:dyDescent="0.35">
      <c r="A4" s="85"/>
      <c r="B4" s="51" t="s">
        <v>41</v>
      </c>
      <c r="C4" s="44">
        <v>14</v>
      </c>
      <c r="D4" s="44">
        <v>9</v>
      </c>
      <c r="E4" s="23">
        <v>1</v>
      </c>
      <c r="F4" s="38">
        <f t="shared" si="0"/>
        <v>11.5</v>
      </c>
      <c r="G4" s="6">
        <f t="shared" ref="G4:G14" si="1">(F4/(0.075*E4))*0.2</f>
        <v>30.666666666666671</v>
      </c>
      <c r="H4" s="86"/>
      <c r="J4" s="61" t="s">
        <v>114</v>
      </c>
      <c r="K4" s="6">
        <f>AVERAGE(G5:G6)</f>
        <v>0</v>
      </c>
      <c r="L4" s="6">
        <f>STDEV(G5:G6)</f>
        <v>0</v>
      </c>
      <c r="M4" s="37">
        <v>1.1904761904761906E-3</v>
      </c>
      <c r="N4" s="73">
        <f>TTEST(G3:G4,G5:G6,2,2)</f>
        <v>6.3392081035446701E-3</v>
      </c>
      <c r="O4" s="17" t="e">
        <f>IF(K4/$K$3&gt;=1,K4/$K$3,-$K$3/K4)</f>
        <v>#DIV/0!</v>
      </c>
    </row>
    <row r="5" spans="1:25" ht="15" customHeight="1" x14ac:dyDescent="0.35">
      <c r="A5" s="82" t="s">
        <v>117</v>
      </c>
      <c r="B5" s="51" t="s">
        <v>42</v>
      </c>
      <c r="C5" s="44">
        <v>0</v>
      </c>
      <c r="D5" s="44">
        <v>0</v>
      </c>
      <c r="E5" s="23">
        <v>1</v>
      </c>
      <c r="F5" s="1">
        <f t="shared" si="0"/>
        <v>0</v>
      </c>
      <c r="G5" s="6">
        <f t="shared" si="1"/>
        <v>0</v>
      </c>
      <c r="H5" s="86">
        <f>TTEST(G5:G6,G3:G4,2,2)</f>
        <v>6.3392081035446701E-3</v>
      </c>
      <c r="J5" s="61" t="s">
        <v>115</v>
      </c>
      <c r="K5" s="6">
        <f>AVERAGE(G7:G8)</f>
        <v>21.333333333333336</v>
      </c>
      <c r="L5" s="6">
        <f>STDEV(G7:G8)</f>
        <v>9.4280904158206287</v>
      </c>
      <c r="M5" s="37">
        <v>12.539682539682541</v>
      </c>
      <c r="N5" s="73">
        <f>TTEST(G3:G4,G7:G8,2,2)</f>
        <v>0.2366299632880261</v>
      </c>
      <c r="O5" s="17">
        <f t="shared" ref="O5:O8" si="2">IF(K5/$K$3&gt;=1,K5/$K$3,-$K$3/K5)</f>
        <v>-1.5625</v>
      </c>
    </row>
    <row r="6" spans="1:25" ht="15" customHeight="1" x14ac:dyDescent="0.35">
      <c r="A6" s="83"/>
      <c r="B6" s="51" t="s">
        <v>43</v>
      </c>
      <c r="C6" s="44">
        <v>0</v>
      </c>
      <c r="D6" s="44">
        <v>0</v>
      </c>
      <c r="E6" s="23">
        <v>1</v>
      </c>
      <c r="F6" s="1">
        <f t="shared" si="0"/>
        <v>0</v>
      </c>
      <c r="G6" s="6">
        <f t="shared" si="1"/>
        <v>0</v>
      </c>
      <c r="H6" s="86"/>
      <c r="J6" s="8" t="s">
        <v>119</v>
      </c>
      <c r="K6" s="6">
        <f>AVERAGE(G9:G10)</f>
        <v>56.666666666666671</v>
      </c>
      <c r="L6" s="6">
        <f>STDEV(G9:G10)</f>
        <v>19.798989873223309</v>
      </c>
      <c r="M6" s="37">
        <v>9.5238095238095237</v>
      </c>
      <c r="N6" s="73">
        <f>TTEST(G3:G4,G9:G10,2,2)</f>
        <v>0.24323218738728136</v>
      </c>
      <c r="O6" s="17">
        <f t="shared" si="2"/>
        <v>1.7</v>
      </c>
    </row>
    <row r="7" spans="1:25" x14ac:dyDescent="0.35">
      <c r="A7" s="83" t="s">
        <v>124</v>
      </c>
      <c r="B7" s="51" t="s">
        <v>44</v>
      </c>
      <c r="C7" s="44">
        <v>6</v>
      </c>
      <c r="D7" s="44">
        <v>5</v>
      </c>
      <c r="E7" s="23">
        <v>1</v>
      </c>
      <c r="F7" s="1">
        <f t="shared" si="0"/>
        <v>5.5</v>
      </c>
      <c r="G7" s="6">
        <f t="shared" si="1"/>
        <v>14.66666666666667</v>
      </c>
      <c r="H7" s="86">
        <f>TTEST(G7:G8,G3:G4,2,2)</f>
        <v>0.2366299632880261</v>
      </c>
      <c r="J7" s="61" t="s">
        <v>122</v>
      </c>
      <c r="K7" s="6">
        <f>AVERAGE(G11:G12)</f>
        <v>0</v>
      </c>
      <c r="L7" s="6">
        <f>STDEV(G11:G12)</f>
        <v>0</v>
      </c>
      <c r="M7" s="37">
        <v>1.6666666666666668E-3</v>
      </c>
      <c r="N7" s="73">
        <f>TTEST(G3:G4,G11:G12,2,2)</f>
        <v>6.3392081035446701E-3</v>
      </c>
      <c r="O7" s="17" t="e">
        <f t="shared" si="2"/>
        <v>#DIV/0!</v>
      </c>
    </row>
    <row r="8" spans="1:25" ht="15" customHeight="1" x14ac:dyDescent="0.35">
      <c r="A8" s="83"/>
      <c r="B8" s="51" t="s">
        <v>45</v>
      </c>
      <c r="C8" s="44">
        <v>11</v>
      </c>
      <c r="D8" s="44">
        <v>10</v>
      </c>
      <c r="E8" s="23">
        <v>1</v>
      </c>
      <c r="F8" s="1">
        <f t="shared" si="0"/>
        <v>10.5</v>
      </c>
      <c r="G8" s="6">
        <f t="shared" si="1"/>
        <v>28</v>
      </c>
      <c r="H8" s="86"/>
      <c r="J8" s="61" t="s">
        <v>123</v>
      </c>
      <c r="K8" s="6">
        <f>AVERAGE(G13:G14)</f>
        <v>42.000000000000007</v>
      </c>
      <c r="L8" s="6">
        <f>STDEV(G13:G14)</f>
        <v>0.94280904158206003</v>
      </c>
      <c r="M8" s="37">
        <v>14.047619047619047</v>
      </c>
      <c r="N8" s="73">
        <f>TTEST(G3:G4,G13:G14,2,2)</f>
        <v>8.7578871753324461E-2</v>
      </c>
      <c r="O8" s="17">
        <f t="shared" si="2"/>
        <v>1.2600000000000002</v>
      </c>
    </row>
    <row r="9" spans="1:25" x14ac:dyDescent="0.35">
      <c r="A9" s="85" t="s">
        <v>30</v>
      </c>
      <c r="B9" s="53" t="s">
        <v>46</v>
      </c>
      <c r="C9" s="44">
        <v>18</v>
      </c>
      <c r="D9" s="44">
        <v>14</v>
      </c>
      <c r="E9" s="23">
        <v>1</v>
      </c>
      <c r="F9" s="38">
        <f t="shared" ref="F9:F14" si="3">AVERAGE(C9,D9)</f>
        <v>16</v>
      </c>
      <c r="G9" s="6">
        <f t="shared" si="1"/>
        <v>42.666666666666671</v>
      </c>
      <c r="H9" s="86">
        <f>TTEST(G9:G10,G9:G10,2,2)</f>
        <v>1</v>
      </c>
      <c r="I9" s="19"/>
      <c r="T9" s="19"/>
      <c r="U9" s="19"/>
      <c r="V9" s="19"/>
      <c r="W9" s="19"/>
      <c r="X9" s="19"/>
      <c r="Y9" s="19"/>
    </row>
    <row r="10" spans="1:25" x14ac:dyDescent="0.35">
      <c r="A10" s="85"/>
      <c r="B10" s="53" t="s">
        <v>47</v>
      </c>
      <c r="C10" s="44">
        <v>12</v>
      </c>
      <c r="D10" s="44">
        <v>41</v>
      </c>
      <c r="E10" s="23">
        <v>1</v>
      </c>
      <c r="F10" s="38">
        <f t="shared" si="3"/>
        <v>26.5</v>
      </c>
      <c r="G10" s="6">
        <f>(F10/(0.075*E10))*0.2</f>
        <v>70.666666666666671</v>
      </c>
      <c r="H10" s="86"/>
    </row>
    <row r="11" spans="1:25" ht="15" customHeight="1" x14ac:dyDescent="0.35">
      <c r="A11" s="82" t="s">
        <v>117</v>
      </c>
      <c r="B11" s="53" t="s">
        <v>125</v>
      </c>
      <c r="C11" s="44">
        <v>0</v>
      </c>
      <c r="D11" s="44">
        <v>0</v>
      </c>
      <c r="E11" s="23">
        <v>1</v>
      </c>
      <c r="F11" s="1">
        <f t="shared" si="3"/>
        <v>0</v>
      </c>
      <c r="G11" s="6">
        <f t="shared" si="1"/>
        <v>0</v>
      </c>
      <c r="H11" s="86">
        <f>TTEST(G11:G12,G9:G10,2,2)</f>
        <v>5.5963384519459591E-2</v>
      </c>
    </row>
    <row r="12" spans="1:25" ht="15" customHeight="1" x14ac:dyDescent="0.35">
      <c r="A12" s="83"/>
      <c r="B12" s="53" t="s">
        <v>126</v>
      </c>
      <c r="C12" s="44">
        <v>0</v>
      </c>
      <c r="D12" s="44">
        <v>0</v>
      </c>
      <c r="E12" s="23">
        <v>1</v>
      </c>
      <c r="F12" s="1">
        <f t="shared" si="3"/>
        <v>0</v>
      </c>
      <c r="G12" s="6">
        <f t="shared" si="1"/>
        <v>0</v>
      </c>
      <c r="H12" s="86"/>
    </row>
    <row r="13" spans="1:25" x14ac:dyDescent="0.35">
      <c r="A13" s="83" t="s">
        <v>124</v>
      </c>
      <c r="B13" s="53" t="s">
        <v>127</v>
      </c>
      <c r="C13" s="44">
        <v>13</v>
      </c>
      <c r="D13" s="44">
        <v>19</v>
      </c>
      <c r="E13" s="23">
        <v>1</v>
      </c>
      <c r="F13" s="1">
        <f t="shared" si="3"/>
        <v>16</v>
      </c>
      <c r="G13" s="6">
        <f t="shared" si="1"/>
        <v>42.666666666666671</v>
      </c>
      <c r="H13" s="86">
        <f>TTEST(G13:G14,G9:G10,2,2)</f>
        <v>0.40518812252053737</v>
      </c>
    </row>
    <row r="14" spans="1:25" ht="15" customHeight="1" x14ac:dyDescent="0.35">
      <c r="A14" s="83"/>
      <c r="B14" s="53" t="s">
        <v>128</v>
      </c>
      <c r="C14" s="44">
        <v>22</v>
      </c>
      <c r="D14" s="44">
        <v>9</v>
      </c>
      <c r="E14" s="23">
        <v>1</v>
      </c>
      <c r="F14" s="1">
        <f t="shared" si="3"/>
        <v>15.5</v>
      </c>
      <c r="G14" s="6">
        <f t="shared" si="1"/>
        <v>41.333333333333343</v>
      </c>
      <c r="H14" s="86"/>
    </row>
    <row r="15" spans="1:25" x14ac:dyDescent="0.35">
      <c r="A15" s="45" t="s">
        <v>69</v>
      </c>
      <c r="B15" s="51"/>
      <c r="C15" s="23">
        <v>0</v>
      </c>
      <c r="D15" s="23">
        <v>0</v>
      </c>
      <c r="E15" s="23"/>
      <c r="F15" s="1" t="s">
        <v>40</v>
      </c>
      <c r="G15" s="6"/>
    </row>
    <row r="16" spans="1:25" x14ac:dyDescent="0.35">
      <c r="A16" s="45" t="s">
        <v>70</v>
      </c>
      <c r="B16" s="51"/>
      <c r="C16" s="23">
        <v>0</v>
      </c>
      <c r="D16" s="23">
        <v>0</v>
      </c>
      <c r="E16" s="23"/>
      <c r="F16" s="1" t="s">
        <v>40</v>
      </c>
      <c r="G16" s="6"/>
    </row>
    <row r="17" spans="1:18" x14ac:dyDescent="0.35">
      <c r="A17" s="55" t="s">
        <v>57</v>
      </c>
    </row>
    <row r="18" spans="1:18" x14ac:dyDescent="0.35">
      <c r="A18" s="55" t="s">
        <v>58</v>
      </c>
    </row>
    <row r="27" spans="1:18" x14ac:dyDescent="0.35">
      <c r="R27" s="19"/>
    </row>
    <row r="36" spans="10:18" x14ac:dyDescent="0.35">
      <c r="R36" s="19"/>
    </row>
    <row r="41" spans="10:18" x14ac:dyDescent="0.35">
      <c r="J41" s="19"/>
    </row>
  </sheetData>
  <mergeCells count="12">
    <mergeCell ref="A9:A10"/>
    <mergeCell ref="H9:H10"/>
    <mergeCell ref="A11:A12"/>
    <mergeCell ref="H11:H12"/>
    <mergeCell ref="A13:A14"/>
    <mergeCell ref="H13:H14"/>
    <mergeCell ref="A3:A4"/>
    <mergeCell ref="A5:A6"/>
    <mergeCell ref="A7:A8"/>
    <mergeCell ref="H5:H6"/>
    <mergeCell ref="H7:H8"/>
    <mergeCell ref="H3:H4"/>
  </mergeCells>
  <phoneticPr fontId="4" type="noConversion"/>
  <pageMargins left="0.75" right="0.75" top="1" bottom="1" header="0.5" footer="0.5"/>
  <pageSetup scale="5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9"/>
  <sheetViews>
    <sheetView showRuler="0" workbookViewId="0">
      <selection activeCell="S6" sqref="S6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8" width="6" bestFit="1" customWidth="1"/>
    <col min="9" max="9" width="8.1640625" bestFit="1" customWidth="1"/>
    <col min="10" max="10" width="7.83203125" bestFit="1" customWidth="1"/>
    <col min="11" max="11" width="8.83203125" bestFit="1" customWidth="1"/>
    <col min="12" max="12" width="2.1640625" customWidth="1"/>
    <col min="13" max="13" width="23.5" bestFit="1" customWidth="1"/>
    <col min="14" max="15" width="8.83203125" bestFit="1" customWidth="1"/>
    <col min="16" max="16" width="7.6640625" bestFit="1" customWidth="1"/>
    <col min="17" max="17" width="7.1640625" bestFit="1" customWidth="1"/>
    <col min="18" max="18" width="8.5" bestFit="1" customWidth="1"/>
    <col min="21" max="21" width="15" bestFit="1" customWidth="1"/>
    <col min="28" max="28" width="15" bestFit="1" customWidth="1"/>
  </cols>
  <sheetData>
    <row r="1" spans="1:30" x14ac:dyDescent="0.35">
      <c r="A1" s="40" t="s">
        <v>0</v>
      </c>
      <c r="B1" s="40"/>
      <c r="C1" s="80" t="s">
        <v>59</v>
      </c>
      <c r="D1" s="80"/>
      <c r="E1" s="80"/>
      <c r="F1" s="80" t="s">
        <v>60</v>
      </c>
      <c r="G1" s="80"/>
      <c r="H1" s="80"/>
      <c r="M1" s="87" t="s">
        <v>102</v>
      </c>
      <c r="N1" s="87"/>
      <c r="O1" s="87"/>
      <c r="P1" s="87"/>
      <c r="Q1" s="87"/>
      <c r="R1" s="87"/>
      <c r="U1" s="87" t="s">
        <v>103</v>
      </c>
      <c r="V1" s="87"/>
      <c r="W1" s="87"/>
      <c r="X1" s="87"/>
      <c r="Y1" s="87"/>
      <c r="Z1" s="87"/>
    </row>
    <row r="2" spans="1:30" ht="46.5" x14ac:dyDescent="0.35">
      <c r="A2" s="29"/>
      <c r="B2" s="29" t="s">
        <v>50</v>
      </c>
      <c r="C2" s="29">
        <v>1</v>
      </c>
      <c r="D2" s="29">
        <v>2</v>
      </c>
      <c r="E2" s="32">
        <v>3</v>
      </c>
      <c r="F2" s="29">
        <v>1</v>
      </c>
      <c r="G2" s="29">
        <v>2</v>
      </c>
      <c r="H2" s="32">
        <v>3</v>
      </c>
      <c r="I2" s="62" t="s">
        <v>33</v>
      </c>
      <c r="J2" s="33" t="s">
        <v>53</v>
      </c>
      <c r="K2" s="33" t="s">
        <v>37</v>
      </c>
      <c r="L2" s="49"/>
      <c r="M2" s="1"/>
      <c r="N2" s="33" t="s">
        <v>54</v>
      </c>
      <c r="O2" s="29" t="s">
        <v>55</v>
      </c>
      <c r="P2" s="62" t="s">
        <v>56</v>
      </c>
      <c r="Q2" s="22" t="s">
        <v>68</v>
      </c>
      <c r="R2" s="22" t="s">
        <v>63</v>
      </c>
      <c r="U2" s="1"/>
      <c r="V2" s="33" t="s">
        <v>54</v>
      </c>
      <c r="W2" s="29" t="s">
        <v>55</v>
      </c>
      <c r="X2" s="62" t="s">
        <v>56</v>
      </c>
      <c r="Y2" s="71" t="s">
        <v>62</v>
      </c>
      <c r="Z2" s="22" t="s">
        <v>63</v>
      </c>
      <c r="AB2" s="1"/>
      <c r="AC2" s="33" t="s">
        <v>104</v>
      </c>
      <c r="AD2" s="29" t="s">
        <v>55</v>
      </c>
    </row>
    <row r="3" spans="1:30" x14ac:dyDescent="0.35">
      <c r="A3" s="85" t="s">
        <v>30</v>
      </c>
      <c r="B3" s="53" t="s">
        <v>38</v>
      </c>
      <c r="C3" s="23" t="s">
        <v>39</v>
      </c>
      <c r="D3" s="23" t="s">
        <v>39</v>
      </c>
      <c r="E3" s="44">
        <v>18</v>
      </c>
      <c r="F3" s="23" t="s">
        <v>39</v>
      </c>
      <c r="G3" s="23" t="s">
        <v>39</v>
      </c>
      <c r="H3" s="44">
        <v>13</v>
      </c>
      <c r="I3" s="23">
        <v>0.01</v>
      </c>
      <c r="J3" s="38">
        <f>AVERAGE(E3,H3)</f>
        <v>15.5</v>
      </c>
      <c r="K3" s="6">
        <f>(J3/(0.01*I3))*0.2</f>
        <v>31000</v>
      </c>
      <c r="L3" s="50"/>
      <c r="M3" s="8" t="s">
        <v>30</v>
      </c>
      <c r="N3" s="6">
        <f>AVERAGE(K3:K4)</f>
        <v>37000</v>
      </c>
      <c r="O3" s="6">
        <f>STDEV(K3:K4)</f>
        <v>8485.2813742385697</v>
      </c>
      <c r="P3" s="37">
        <v>9.6825396825396837</v>
      </c>
      <c r="Q3" s="1"/>
      <c r="R3" s="17">
        <f>IF(N3/$N$3&gt;=1,N3/$N$3,-$N$3/N3)</f>
        <v>1</v>
      </c>
      <c r="U3" s="8" t="s">
        <v>30</v>
      </c>
      <c r="V3" s="6">
        <v>33.333333333333336</v>
      </c>
      <c r="W3" s="6">
        <v>3.7712361663282499</v>
      </c>
      <c r="X3" s="37">
        <v>9.6825396825396837</v>
      </c>
      <c r="Y3" s="72"/>
      <c r="Z3" s="17">
        <v>1</v>
      </c>
      <c r="AB3" s="8" t="s">
        <v>30</v>
      </c>
      <c r="AC3" s="6">
        <f>N3/V3</f>
        <v>1110</v>
      </c>
      <c r="AD3" s="6">
        <f t="shared" ref="AD3:AD8" si="0">AC3*(SQRT((O3/N3)^2)+(W3/V3)^2)</f>
        <v>268.76644122715709</v>
      </c>
    </row>
    <row r="4" spans="1:30" x14ac:dyDescent="0.35">
      <c r="A4" s="85"/>
      <c r="B4" s="53" t="s">
        <v>41</v>
      </c>
      <c r="C4" s="46" t="s">
        <v>39</v>
      </c>
      <c r="D4" s="46" t="s">
        <v>39</v>
      </c>
      <c r="E4" s="44">
        <v>21</v>
      </c>
      <c r="F4" s="46" t="s">
        <v>39</v>
      </c>
      <c r="G4" s="46" t="s">
        <v>39</v>
      </c>
      <c r="H4" s="44">
        <v>22</v>
      </c>
      <c r="I4" s="23">
        <v>0.01</v>
      </c>
      <c r="J4" s="38">
        <f>AVERAGE(E4,H4)</f>
        <v>21.5</v>
      </c>
      <c r="K4" s="6">
        <f t="shared" ref="K4:K5" si="1">(J4/(0.01*I4))*0.2</f>
        <v>43000</v>
      </c>
      <c r="L4" s="50"/>
      <c r="M4" s="61" t="s">
        <v>114</v>
      </c>
      <c r="N4" s="6">
        <f>AVERAGE(K5:K6)</f>
        <v>0</v>
      </c>
      <c r="O4" s="6">
        <f>STDEV(K5:K6)</f>
        <v>0</v>
      </c>
      <c r="P4" s="37">
        <v>1.1904761904761906E-3</v>
      </c>
      <c r="Q4" s="27">
        <f>TTEST(K$3:K$4,K5:K6,2,2)</f>
        <v>2.5302765918410342E-2</v>
      </c>
      <c r="R4" s="17" t="e">
        <f t="shared" ref="R4:R8" si="2">IF(N4/$N$3&gt;=1,N4/$N$3,-$N$3/N4)</f>
        <v>#DIV/0!</v>
      </c>
      <c r="U4" s="61" t="s">
        <v>105</v>
      </c>
      <c r="V4" s="6">
        <v>0</v>
      </c>
      <c r="W4" s="6">
        <v>0</v>
      </c>
      <c r="X4" s="37">
        <v>1.1904761904761906E-3</v>
      </c>
      <c r="Y4" s="73">
        <v>6.3392081035446822E-3</v>
      </c>
      <c r="Z4" s="17" t="e">
        <v>#DIV/0!</v>
      </c>
      <c r="AB4" s="61" t="s">
        <v>105</v>
      </c>
      <c r="AC4" s="6" t="e">
        <f t="shared" ref="AC4" si="3">N4/V4</f>
        <v>#DIV/0!</v>
      </c>
      <c r="AD4" s="12" t="e">
        <f t="shared" si="0"/>
        <v>#DIV/0!</v>
      </c>
    </row>
    <row r="5" spans="1:30" x14ac:dyDescent="0.35">
      <c r="A5" s="82" t="s">
        <v>117</v>
      </c>
      <c r="B5" s="53" t="s">
        <v>42</v>
      </c>
      <c r="C5" s="46">
        <v>0</v>
      </c>
      <c r="D5" s="46"/>
      <c r="E5" s="44"/>
      <c r="F5" s="46">
        <v>0</v>
      </c>
      <c r="G5" s="46"/>
      <c r="H5" s="44"/>
      <c r="I5" s="23">
        <v>1</v>
      </c>
      <c r="J5" s="38">
        <f>AVERAGE(C5,F5)</f>
        <v>0</v>
      </c>
      <c r="K5" s="6">
        <f t="shared" si="1"/>
        <v>0</v>
      </c>
      <c r="L5" s="50"/>
      <c r="M5" s="61" t="s">
        <v>115</v>
      </c>
      <c r="N5" s="6">
        <f>AVERAGE(K7:K8)</f>
        <v>15</v>
      </c>
      <c r="O5" s="6">
        <f>STDEV(K7:K8)</f>
        <v>7.0710678118654755</v>
      </c>
      <c r="P5" s="37">
        <v>12.539682539682541</v>
      </c>
      <c r="Q5" s="27">
        <f>TTEST(K$3:K$4,K7:K8,2,2)</f>
        <v>2.532253791884044E-2</v>
      </c>
      <c r="R5" s="17">
        <f t="shared" si="2"/>
        <v>-2466.6666666666665</v>
      </c>
      <c r="T5" s="19"/>
      <c r="U5" s="61" t="s">
        <v>129</v>
      </c>
      <c r="V5" s="6">
        <v>21.333333333333336</v>
      </c>
      <c r="W5" s="6">
        <v>9.4280904158206287</v>
      </c>
      <c r="X5" s="37">
        <v>12.539682539682541</v>
      </c>
      <c r="Y5" s="73">
        <v>0.2366299632880261</v>
      </c>
      <c r="Z5" s="17">
        <v>-1.5625</v>
      </c>
      <c r="AB5" s="61" t="s">
        <v>129</v>
      </c>
      <c r="AC5" s="6">
        <f>N5/V5</f>
        <v>0.70312499999999989</v>
      </c>
      <c r="AD5" s="12">
        <f t="shared" si="0"/>
        <v>0.46878540524369394</v>
      </c>
    </row>
    <row r="6" spans="1:30" ht="16" customHeight="1" x14ac:dyDescent="0.35">
      <c r="A6" s="83"/>
      <c r="B6" s="53" t="s">
        <v>43</v>
      </c>
      <c r="C6" s="46">
        <v>0</v>
      </c>
      <c r="D6" s="44"/>
      <c r="E6" s="44"/>
      <c r="F6" s="46">
        <v>0</v>
      </c>
      <c r="G6" s="44"/>
      <c r="H6" s="44"/>
      <c r="I6" s="23">
        <v>1</v>
      </c>
      <c r="J6" s="38">
        <f>AVERAGE(C6,F6)</f>
        <v>0</v>
      </c>
      <c r="K6" s="6">
        <f>(J6/(0.01*I6))*0.2</f>
        <v>0</v>
      </c>
      <c r="L6" s="50"/>
      <c r="M6" s="8" t="s">
        <v>119</v>
      </c>
      <c r="N6" s="6">
        <f>AVERAGE(K9:K10)</f>
        <v>48500</v>
      </c>
      <c r="O6" s="6">
        <f>STDEV(K9:K10)</f>
        <v>17677.66952966369</v>
      </c>
      <c r="P6" s="37">
        <v>9.5238095238095237</v>
      </c>
      <c r="Q6" s="27">
        <f>TTEST(K$3:K$4,K9:K10,2,2)</f>
        <v>0.49410824925322883</v>
      </c>
      <c r="R6" s="17">
        <f t="shared" si="2"/>
        <v>1.3108108108108107</v>
      </c>
      <c r="U6" s="8" t="s">
        <v>119</v>
      </c>
      <c r="V6" s="6">
        <v>56.666666666666671</v>
      </c>
      <c r="W6" s="6">
        <v>19.798989873223309</v>
      </c>
      <c r="X6" s="37">
        <v>9.5238095238095237</v>
      </c>
      <c r="Y6" s="73">
        <v>0.24323218738728147</v>
      </c>
      <c r="Z6" s="17">
        <v>1.7</v>
      </c>
      <c r="AB6" s="8" t="s">
        <v>30</v>
      </c>
      <c r="AC6" s="6">
        <f>N6/V6</f>
        <v>855.88235294117635</v>
      </c>
      <c r="AD6" s="6">
        <f t="shared" si="0"/>
        <v>416.44167478563816</v>
      </c>
    </row>
    <row r="7" spans="1:30" ht="15" customHeight="1" x14ac:dyDescent="0.35">
      <c r="A7" s="83" t="s">
        <v>124</v>
      </c>
      <c r="B7" s="53" t="s">
        <v>44</v>
      </c>
      <c r="C7" s="46">
        <v>0</v>
      </c>
      <c r="D7" s="44"/>
      <c r="E7" s="44"/>
      <c r="F7" s="46">
        <v>1</v>
      </c>
      <c r="G7" s="44"/>
      <c r="H7" s="44"/>
      <c r="I7" s="23">
        <v>1</v>
      </c>
      <c r="J7" s="38">
        <f t="shared" ref="J7:J8" si="4">AVERAGE(C7,F7)</f>
        <v>0.5</v>
      </c>
      <c r="K7" s="6">
        <f>(J7/(0.01*I7))*0.2</f>
        <v>10</v>
      </c>
      <c r="L7" s="50"/>
      <c r="M7" s="61" t="s">
        <v>122</v>
      </c>
      <c r="N7" s="6">
        <f>AVERAGE(K11:K12)</f>
        <v>0</v>
      </c>
      <c r="O7" s="6">
        <f>STDEV(K11:K12)</f>
        <v>0</v>
      </c>
      <c r="P7" s="37">
        <v>1.6666666666666668E-3</v>
      </c>
      <c r="Q7" s="27">
        <f>TTEST(K$3:K$4,K11:K12,2,2)</f>
        <v>2.5302765918410342E-2</v>
      </c>
      <c r="R7" s="17" t="e">
        <f t="shared" si="2"/>
        <v>#DIV/0!</v>
      </c>
      <c r="U7" s="61" t="s">
        <v>130</v>
      </c>
      <c r="V7" s="6">
        <v>0</v>
      </c>
      <c r="W7" s="6">
        <v>0</v>
      </c>
      <c r="X7" s="37">
        <v>1.6666666666666668E-3</v>
      </c>
      <c r="Y7" s="73">
        <v>6.3392081035446822E-3</v>
      </c>
      <c r="Z7" s="17" t="e">
        <v>#DIV/0!</v>
      </c>
      <c r="AB7" s="61" t="s">
        <v>105</v>
      </c>
      <c r="AC7" s="12" t="e">
        <f>N7/V7</f>
        <v>#DIV/0!</v>
      </c>
      <c r="AD7" s="12" t="e">
        <f t="shared" si="0"/>
        <v>#DIV/0!</v>
      </c>
    </row>
    <row r="8" spans="1:30" ht="15" customHeight="1" x14ac:dyDescent="0.35">
      <c r="A8" s="83"/>
      <c r="B8" s="53" t="s">
        <v>45</v>
      </c>
      <c r="C8" s="46">
        <v>1</v>
      </c>
      <c r="D8" s="44"/>
      <c r="E8" s="44"/>
      <c r="F8" s="46">
        <v>1</v>
      </c>
      <c r="G8" s="44"/>
      <c r="H8" s="44"/>
      <c r="I8" s="23">
        <v>1</v>
      </c>
      <c r="J8" s="38">
        <f t="shared" si="4"/>
        <v>1</v>
      </c>
      <c r="K8" s="6">
        <f t="shared" ref="K8:K14" si="5">(J8/(0.01*I8))*0.2</f>
        <v>20</v>
      </c>
      <c r="L8" s="50"/>
      <c r="M8" s="61" t="s">
        <v>123</v>
      </c>
      <c r="N8" s="6">
        <f>AVERAGE(K13:K14)</f>
        <v>66500</v>
      </c>
      <c r="O8" s="6">
        <f>STDEV(K13:K14)</f>
        <v>3535.5339059327375</v>
      </c>
      <c r="P8" s="37">
        <v>14.047619047619047</v>
      </c>
      <c r="Q8" s="27">
        <f>TTEST(K$3:K$4,K13:K14,2,2)</f>
        <v>4.5277445641956342E-2</v>
      </c>
      <c r="R8" s="17">
        <f t="shared" si="2"/>
        <v>1.7972972972972974</v>
      </c>
      <c r="U8" s="61" t="s">
        <v>131</v>
      </c>
      <c r="V8" s="6">
        <v>42.000000000000007</v>
      </c>
      <c r="W8" s="6">
        <v>0.94280904158206003</v>
      </c>
      <c r="X8" s="37">
        <v>14.047619047619047</v>
      </c>
      <c r="Y8" s="73">
        <v>8.7578871753324683E-2</v>
      </c>
      <c r="Z8" s="17">
        <v>1.26</v>
      </c>
      <c r="AB8" s="61" t="s">
        <v>129</v>
      </c>
      <c r="AC8" s="6">
        <f>N8/V8</f>
        <v>1583.333333333333</v>
      </c>
      <c r="AD8" s="6">
        <f t="shared" si="0"/>
        <v>84.977228716883417</v>
      </c>
    </row>
    <row r="9" spans="1:30" ht="16" customHeight="1" x14ac:dyDescent="0.35">
      <c r="A9" s="85" t="s">
        <v>30</v>
      </c>
      <c r="B9" s="53" t="s">
        <v>46</v>
      </c>
      <c r="C9" s="23" t="s">
        <v>39</v>
      </c>
      <c r="D9" s="23" t="s">
        <v>39</v>
      </c>
      <c r="E9" s="44">
        <v>31</v>
      </c>
      <c r="F9" s="23" t="s">
        <v>39</v>
      </c>
      <c r="G9" s="23" t="s">
        <v>39</v>
      </c>
      <c r="H9" s="44">
        <v>30</v>
      </c>
      <c r="I9" s="23">
        <v>0.01</v>
      </c>
      <c r="J9" s="1">
        <f>AVERAGE(E9,H9)</f>
        <v>30.5</v>
      </c>
      <c r="K9" s="6">
        <f>(J9/(0.01*I9))*0.2</f>
        <v>61000</v>
      </c>
      <c r="L9" s="50"/>
    </row>
    <row r="10" spans="1:30" ht="15" customHeight="1" x14ac:dyDescent="0.35">
      <c r="A10" s="85"/>
      <c r="B10" s="53" t="s">
        <v>47</v>
      </c>
      <c r="C10" s="46" t="s">
        <v>39</v>
      </c>
      <c r="D10" s="46" t="s">
        <v>39</v>
      </c>
      <c r="E10" s="44">
        <v>19</v>
      </c>
      <c r="F10" s="46" t="s">
        <v>39</v>
      </c>
      <c r="G10" s="46" t="s">
        <v>39</v>
      </c>
      <c r="H10" s="44">
        <v>17</v>
      </c>
      <c r="I10" s="23">
        <v>0.01</v>
      </c>
      <c r="J10" s="1">
        <f t="shared" ref="J10" si="6">AVERAGE(E10,H10)</f>
        <v>18</v>
      </c>
      <c r="K10" s="6">
        <f t="shared" ref="K10:K11" si="7">(J10/(0.01*I10))*0.2</f>
        <v>36000</v>
      </c>
      <c r="L10" s="50"/>
    </row>
    <row r="11" spans="1:30" x14ac:dyDescent="0.35">
      <c r="A11" s="82" t="s">
        <v>117</v>
      </c>
      <c r="B11" s="53" t="s">
        <v>125</v>
      </c>
      <c r="C11" s="46">
        <v>0</v>
      </c>
      <c r="D11" s="46"/>
      <c r="E11" s="44"/>
      <c r="F11" s="46">
        <v>0</v>
      </c>
      <c r="G11" s="46"/>
      <c r="H11" s="44"/>
      <c r="I11" s="23">
        <v>1</v>
      </c>
      <c r="J11" s="38">
        <f>AVERAGE(C11,F11)</f>
        <v>0</v>
      </c>
      <c r="K11" s="6">
        <f t="shared" si="7"/>
        <v>0</v>
      </c>
      <c r="L11" s="50"/>
    </row>
    <row r="12" spans="1:30" ht="16" customHeight="1" x14ac:dyDescent="0.35">
      <c r="A12" s="83"/>
      <c r="B12" s="53" t="s">
        <v>126</v>
      </c>
      <c r="C12" s="46">
        <v>0</v>
      </c>
      <c r="D12" s="44"/>
      <c r="E12" s="44"/>
      <c r="F12" s="46">
        <v>0</v>
      </c>
      <c r="G12" s="44"/>
      <c r="H12" s="44"/>
      <c r="I12" s="23">
        <v>1</v>
      </c>
      <c r="J12" s="38">
        <f>AVERAGE(C12,F12)</f>
        <v>0</v>
      </c>
      <c r="K12" s="6">
        <f>(J12/(0.01*I12))*0.2</f>
        <v>0</v>
      </c>
      <c r="L12" s="50"/>
    </row>
    <row r="13" spans="1:30" ht="15" customHeight="1" x14ac:dyDescent="0.35">
      <c r="A13" s="83" t="s">
        <v>124</v>
      </c>
      <c r="B13" s="53" t="s">
        <v>127</v>
      </c>
      <c r="C13" s="46" t="s">
        <v>39</v>
      </c>
      <c r="D13" s="46" t="s">
        <v>39</v>
      </c>
      <c r="E13" s="44">
        <v>37</v>
      </c>
      <c r="F13" s="46" t="s">
        <v>39</v>
      </c>
      <c r="G13" s="46" t="s">
        <v>39</v>
      </c>
      <c r="H13" s="44">
        <v>27</v>
      </c>
      <c r="I13" s="23">
        <v>0.01</v>
      </c>
      <c r="J13" s="1">
        <f t="shared" ref="J13:J14" si="8">AVERAGE(E13,H13)</f>
        <v>32</v>
      </c>
      <c r="K13" s="6">
        <f t="shared" si="5"/>
        <v>64000</v>
      </c>
      <c r="L13" s="50"/>
    </row>
    <row r="14" spans="1:30" x14ac:dyDescent="0.35">
      <c r="A14" s="83"/>
      <c r="B14" s="53" t="s">
        <v>128</v>
      </c>
      <c r="C14" s="46" t="s">
        <v>39</v>
      </c>
      <c r="D14" s="46" t="s">
        <v>39</v>
      </c>
      <c r="E14" s="44">
        <v>32</v>
      </c>
      <c r="F14" s="46" t="s">
        <v>39</v>
      </c>
      <c r="G14" s="46" t="s">
        <v>39</v>
      </c>
      <c r="H14" s="44">
        <v>37</v>
      </c>
      <c r="I14" s="23">
        <v>0.01</v>
      </c>
      <c r="J14" s="1">
        <f t="shared" si="8"/>
        <v>34.5</v>
      </c>
      <c r="K14" s="6">
        <f t="shared" si="5"/>
        <v>69000</v>
      </c>
      <c r="L14" s="50"/>
    </row>
    <row r="15" spans="1:30" x14ac:dyDescent="0.35">
      <c r="A15" s="56" t="s">
        <v>65</v>
      </c>
      <c r="B15" s="53"/>
      <c r="C15" s="23">
        <v>0</v>
      </c>
      <c r="D15" s="23" t="s">
        <v>40</v>
      </c>
      <c r="E15" s="23" t="s">
        <v>40</v>
      </c>
      <c r="F15" s="23" t="s">
        <v>40</v>
      </c>
      <c r="G15" s="23" t="s">
        <v>40</v>
      </c>
      <c r="H15" s="23" t="s">
        <v>40</v>
      </c>
      <c r="I15" s="47">
        <v>1</v>
      </c>
      <c r="J15" s="38">
        <f>AVERAGE(C15)</f>
        <v>0</v>
      </c>
      <c r="K15" s="6">
        <f>(J15/(0.1*I15))*0.2</f>
        <v>0</v>
      </c>
      <c r="L15" s="50"/>
    </row>
    <row r="16" spans="1:30" x14ac:dyDescent="0.35">
      <c r="A16" s="56" t="s">
        <v>66</v>
      </c>
      <c r="B16" s="53"/>
      <c r="C16" s="23">
        <v>0</v>
      </c>
      <c r="D16" s="23" t="s">
        <v>40</v>
      </c>
      <c r="E16" s="23" t="s">
        <v>40</v>
      </c>
      <c r="F16" s="23" t="s">
        <v>40</v>
      </c>
      <c r="G16" s="23" t="s">
        <v>40</v>
      </c>
      <c r="H16" s="23" t="s">
        <v>40</v>
      </c>
      <c r="I16" s="47">
        <v>1</v>
      </c>
      <c r="J16" s="38">
        <f>AVERAGE(C16)</f>
        <v>0</v>
      </c>
      <c r="K16" s="6">
        <f>(J16/(0.1*I16))*0.2</f>
        <v>0</v>
      </c>
      <c r="L16" s="50"/>
    </row>
    <row r="17" spans="1:12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</v>
      </c>
      <c r="G17" s="1">
        <f>F17/10</f>
        <v>0.1</v>
      </c>
      <c r="H17" s="1">
        <f>G17/10</f>
        <v>0.01</v>
      </c>
      <c r="K17" s="19"/>
      <c r="L17" s="19"/>
    </row>
    <row r="18" spans="1:12" x14ac:dyDescent="0.35">
      <c r="A18" s="88" t="s">
        <v>61</v>
      </c>
      <c r="B18" s="88"/>
      <c r="C18" s="88"/>
    </row>
    <row r="19" spans="1:12" x14ac:dyDescent="0.35">
      <c r="D19" s="55"/>
    </row>
  </sheetData>
  <mergeCells count="11">
    <mergeCell ref="M1:R1"/>
    <mergeCell ref="U1:Z1"/>
    <mergeCell ref="A18:C18"/>
    <mergeCell ref="C1:E1"/>
    <mergeCell ref="F1:H1"/>
    <mergeCell ref="A3:A4"/>
    <mergeCell ref="A5:A6"/>
    <mergeCell ref="A7:A8"/>
    <mergeCell ref="A9:A10"/>
    <mergeCell ref="A11:A12"/>
    <mergeCell ref="A13:A14"/>
  </mergeCells>
  <phoneticPr fontId="4" type="noConversion"/>
  <pageMargins left="0.75" right="0.75" top="1" bottom="1" header="0.5" footer="0.5"/>
  <pageSetup scale="53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ExperimentalSetup</vt:lpstr>
      <vt:lpstr>BacteriaCalcs</vt:lpstr>
      <vt:lpstr>Sheet1</vt:lpstr>
      <vt:lpstr>Plate Needs</vt:lpstr>
      <vt:lpstr>Inoculum</vt:lpstr>
      <vt:lpstr>T=2</vt:lpstr>
      <vt:lpstr>T=24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2019-06-12T18:51:18Z</cp:lastPrinted>
  <dcterms:created xsi:type="dcterms:W3CDTF">2016-02-15T21:32:37Z</dcterms:created>
  <dcterms:modified xsi:type="dcterms:W3CDTF">2019-06-20T19:35:41Z</dcterms:modified>
</cp:coreProperties>
</file>