
<file path=[Content_Types].xml><?xml version="1.0" encoding="utf-8"?>
<Types xmlns="http://schemas.openxmlformats.org/package/2006/content-types"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609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Volumes/GoogleDrive/Shared drives/KRamsey Lab/Kathryn/Macrophage/"/>
    </mc:Choice>
  </mc:AlternateContent>
  <xr:revisionPtr revIDLastSave="0" documentId="13_ncr:1_{CE27E5F3-C859-8343-84CF-234854A53C77}" xr6:coauthVersionLast="43" xr6:coauthVersionMax="43" xr10:uidLastSave="{00000000-0000-0000-0000-000000000000}"/>
  <bookViews>
    <workbookView xWindow="0" yWindow="460" windowWidth="28800" windowHeight="16140" tabRatio="500" xr2:uid="{00000000-000D-0000-FFFF-FFFF00000000}"/>
  </bookViews>
  <sheets>
    <sheet name="ExperimentalSetup" sheetId="1" r:id="rId1"/>
    <sheet name="Plate Needs" sheetId="5" r:id="rId2"/>
    <sheet name="Inoculum" sheetId="2" r:id="rId3"/>
    <sheet name="T=2" sheetId="4" r:id="rId4"/>
    <sheet name="T=24" sheetId="3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E33" i="1" l="1"/>
  <c r="AE34" i="1"/>
  <c r="AE35" i="1"/>
  <c r="AE32" i="1"/>
  <c r="AD5" i="3" l="1"/>
  <c r="AD4" i="3"/>
  <c r="AD3" i="3"/>
  <c r="AC4" i="3"/>
  <c r="AC5" i="3"/>
  <c r="AC3" i="3"/>
  <c r="Y3" i="3"/>
  <c r="X3" i="3"/>
  <c r="Z3" i="3"/>
  <c r="X4" i="3"/>
  <c r="Y4" i="3"/>
  <c r="Z4" i="3"/>
  <c r="X5" i="3"/>
  <c r="Y5" i="3"/>
  <c r="Z5" i="3"/>
  <c r="W3" i="3"/>
  <c r="W4" i="3"/>
  <c r="W5" i="3"/>
  <c r="V5" i="3"/>
  <c r="V4" i="3"/>
  <c r="V3" i="3"/>
  <c r="R3" i="3"/>
  <c r="K13" i="3"/>
  <c r="K12" i="3"/>
  <c r="N4" i="3"/>
  <c r="N3" i="3"/>
  <c r="J10" i="3"/>
  <c r="J11" i="3"/>
  <c r="J9" i="3"/>
  <c r="K9" i="3" s="1"/>
  <c r="J7" i="3"/>
  <c r="J8" i="3"/>
  <c r="J6" i="3"/>
  <c r="K6" i="3" s="1"/>
  <c r="L6" i="4"/>
  <c r="L5" i="4"/>
  <c r="L4" i="4"/>
  <c r="L3" i="4"/>
  <c r="K6" i="4"/>
  <c r="K5" i="4"/>
  <c r="K4" i="4"/>
  <c r="K3" i="4"/>
  <c r="G3" i="4"/>
  <c r="J5" i="3" l="1"/>
  <c r="J3" i="3"/>
  <c r="M9" i="2" l="1"/>
  <c r="M7" i="2"/>
  <c r="M5" i="2"/>
  <c r="M3" i="2"/>
  <c r="I9" i="2"/>
  <c r="I7" i="2"/>
  <c r="I5" i="2"/>
  <c r="I3" i="2"/>
  <c r="H4" i="2"/>
  <c r="H5" i="2"/>
  <c r="H6" i="2"/>
  <c r="H7" i="2"/>
  <c r="H8" i="2"/>
  <c r="H9" i="2"/>
  <c r="H10" i="2"/>
  <c r="H3" i="2"/>
  <c r="AB33" i="1" l="1"/>
  <c r="AB34" i="1"/>
  <c r="AB35" i="1"/>
  <c r="AB32" i="1"/>
  <c r="F14" i="4" l="1"/>
  <c r="G14" i="4" s="1"/>
  <c r="F13" i="4"/>
  <c r="G13" i="4" s="1"/>
  <c r="F12" i="4"/>
  <c r="G12" i="4" s="1"/>
  <c r="T9" i="1" l="1"/>
  <c r="T10" i="1" s="1"/>
  <c r="P9" i="1" s="1"/>
  <c r="R2" i="1"/>
  <c r="R3" i="1" s="1"/>
  <c r="B7" i="5" l="1"/>
  <c r="C7" i="5" l="1"/>
  <c r="C8" i="5" s="1"/>
  <c r="B8" i="5"/>
  <c r="B9" i="5" l="1"/>
  <c r="P10" i="1"/>
  <c r="P18" i="1" s="1"/>
  <c r="P20" i="1" s="1"/>
  <c r="P22" i="1" s="1"/>
  <c r="F3" i="4"/>
  <c r="F4" i="4"/>
  <c r="G4" i="4" s="1"/>
  <c r="F5" i="4"/>
  <c r="G5" i="4" s="1"/>
  <c r="F6" i="4"/>
  <c r="G6" i="4" s="1"/>
  <c r="F7" i="4"/>
  <c r="G7" i="4" s="1"/>
  <c r="F8" i="4"/>
  <c r="G8" i="4" s="1"/>
  <c r="K7" i="3"/>
  <c r="K8" i="3"/>
  <c r="J3" i="2"/>
  <c r="L3" i="2" s="1"/>
  <c r="C14" i="2" s="1"/>
  <c r="K11" i="3"/>
  <c r="P4" i="1"/>
  <c r="K3" i="3"/>
  <c r="J4" i="3"/>
  <c r="K4" i="3" s="1"/>
  <c r="K5" i="3"/>
  <c r="K10" i="3"/>
  <c r="F10" i="4"/>
  <c r="G10" i="4" s="1"/>
  <c r="J12" i="3"/>
  <c r="J13" i="3"/>
  <c r="D14" i="3"/>
  <c r="E14" i="3" s="1"/>
  <c r="F9" i="4"/>
  <c r="G9" i="4" s="1"/>
  <c r="F11" i="4"/>
  <c r="G11" i="4" s="1"/>
  <c r="J5" i="2"/>
  <c r="L5" i="2" s="1"/>
  <c r="C15" i="2" s="1"/>
  <c r="D11" i="2"/>
  <c r="E11" i="2" s="1"/>
  <c r="F11" i="2" s="1"/>
  <c r="G14" i="3"/>
  <c r="H14" i="3" s="1"/>
  <c r="P24" i="1"/>
  <c r="N5" i="3" l="1"/>
  <c r="H12" i="4"/>
  <c r="N6" i="4"/>
  <c r="O6" i="4"/>
  <c r="K5" i="2"/>
  <c r="K7" i="2"/>
  <c r="K9" i="2"/>
  <c r="K3" i="2"/>
  <c r="J7" i="2"/>
  <c r="L7" i="2" s="1"/>
  <c r="C16" i="2" s="1"/>
  <c r="O5" i="3"/>
  <c r="Q5" i="3"/>
  <c r="O3" i="3"/>
  <c r="Q4" i="3"/>
  <c r="H6" i="4"/>
  <c r="H3" i="4"/>
  <c r="O3" i="4"/>
  <c r="N5" i="4"/>
  <c r="N4" i="4"/>
  <c r="O4" i="3"/>
  <c r="H9" i="4"/>
  <c r="J9" i="2"/>
  <c r="L9" i="2" s="1"/>
  <c r="C17" i="2" s="1"/>
  <c r="R5" i="3" l="1"/>
  <c r="B17" i="2"/>
  <c r="B15" i="2"/>
  <c r="O5" i="4"/>
  <c r="B16" i="2"/>
  <c r="B14" i="2"/>
  <c r="R4" i="3"/>
  <c r="O4" i="4"/>
</calcChain>
</file>

<file path=xl/sharedStrings.xml><?xml version="1.0" encoding="utf-8"?>
<sst xmlns="http://schemas.openxmlformats.org/spreadsheetml/2006/main" count="258" uniqueCount="119">
  <si>
    <t xml:space="preserve"> </t>
  </si>
  <si>
    <t>Macrophage Calculations</t>
  </si>
  <si>
    <t>A</t>
  </si>
  <si>
    <t>mac only</t>
  </si>
  <si>
    <t>Cells per well</t>
  </si>
  <si>
    <t>B</t>
  </si>
  <si>
    <t>Volume to plate (mL)</t>
  </si>
  <si>
    <t>C</t>
  </si>
  <si>
    <t>Density needed (cells/mL)</t>
  </si>
  <si>
    <t>D</t>
  </si>
  <si>
    <t>Total volume needed (mL)</t>
  </si>
  <si>
    <t>E</t>
  </si>
  <si>
    <t>Measured cells per ml</t>
  </si>
  <si>
    <t>F</t>
  </si>
  <si>
    <t>Volume stock needed (mL)</t>
  </si>
  <si>
    <t>G</t>
  </si>
  <si>
    <t>Volume media for dilution</t>
  </si>
  <si>
    <t>H</t>
  </si>
  <si>
    <t>Measured cells per ml, seeded</t>
  </si>
  <si>
    <t>Measured cells per well</t>
  </si>
  <si>
    <t>Bacterial Calculations</t>
  </si>
  <si>
    <t xml:space="preserve">                    </t>
  </si>
  <si>
    <t>MOI</t>
  </si>
  <si>
    <t>Macrophage cells per well</t>
  </si>
  <si>
    <t>Volume bacteria to add (mL)</t>
  </si>
  <si>
    <t>Bacterial density needed (cells/mL)</t>
  </si>
  <si>
    <t>Cells/mL per OD600</t>
  </si>
  <si>
    <t>OD needed for given density</t>
  </si>
  <si>
    <t>Resuspend to</t>
  </si>
  <si>
    <t>Final MOI 5, dilute 1:100</t>
  </si>
  <si>
    <t>LVS</t>
  </si>
  <si>
    <t>Inoculum</t>
  </si>
  <si>
    <t>Replicate</t>
  </si>
  <si>
    <t>Dilution factor counted</t>
  </si>
  <si>
    <t>Cells / mL</t>
  </si>
  <si>
    <t>Average Cells / mL</t>
  </si>
  <si>
    <t>St dev</t>
  </si>
  <si>
    <t>CFU per well</t>
  </si>
  <si>
    <t>1A</t>
  </si>
  <si>
    <t>TMTC</t>
  </si>
  <si>
    <t>-</t>
  </si>
  <si>
    <t>1B</t>
  </si>
  <si>
    <t>2A</t>
  </si>
  <si>
    <t>2B</t>
  </si>
  <si>
    <t>3A</t>
  </si>
  <si>
    <t>3B</t>
  </si>
  <si>
    <t>4A</t>
  </si>
  <si>
    <t>4B</t>
  </si>
  <si>
    <t>Dilution Factor</t>
  </si>
  <si>
    <t>CFU/well</t>
  </si>
  <si>
    <t>Plate</t>
  </si>
  <si>
    <t>Plate 1</t>
  </si>
  <si>
    <t>Plate 2</t>
  </si>
  <si>
    <t>Average Cells</t>
  </si>
  <si>
    <t>Average CFU per well</t>
  </si>
  <si>
    <t>St Dev</t>
  </si>
  <si>
    <t>Original MOI</t>
  </si>
  <si>
    <t>50 ul cells plated</t>
  </si>
  <si>
    <t>*100 ul cells plated</t>
  </si>
  <si>
    <t>Track Plate 1</t>
  </si>
  <si>
    <t>Track Plate 2</t>
  </si>
  <si>
    <t>**Plated 100 ul on circular plate</t>
  </si>
  <si>
    <t>T-test</t>
  </si>
  <si>
    <t>Fold Change</t>
  </si>
  <si>
    <t>1C</t>
  </si>
  <si>
    <t>4C</t>
  </si>
  <si>
    <t>2C</t>
  </si>
  <si>
    <t>macrophage**</t>
  </si>
  <si>
    <t>LVS**</t>
  </si>
  <si>
    <t>LVS only</t>
  </si>
  <si>
    <t>T-test (vs LVS)</t>
  </si>
  <si>
    <t>macrophage*</t>
  </si>
  <si>
    <t>LVS*</t>
  </si>
  <si>
    <t>Actual</t>
  </si>
  <si>
    <t>MOI (based on number of seeded macrophage- see setup)</t>
  </si>
  <si>
    <t>Number of plates</t>
  </si>
  <si>
    <t>Patch strains for infections</t>
  </si>
  <si>
    <t>Round</t>
  </si>
  <si>
    <t>Square</t>
  </si>
  <si>
    <t>Plate inoculumns</t>
  </si>
  <si>
    <t>Timepoint 2 hours</t>
  </si>
  <si>
    <t>Notes</t>
  </si>
  <si>
    <t>2x each</t>
  </si>
  <si>
    <t>4 strains in duplicate</t>
  </si>
  <si>
    <t>3 wells plated in duplicate x 4 strains plus 2 plates for control wells</t>
  </si>
  <si>
    <t>Timepoint 24 hours</t>
  </si>
  <si>
    <t>Total plates</t>
  </si>
  <si>
    <t>Flasks of 600 mL CHA</t>
  </si>
  <si>
    <t>Total number of CHA flasks</t>
  </si>
  <si>
    <t>Round plates: 24 mL, 25 per flask; Square plates: 30 mL, 20 per flask</t>
  </si>
  <si>
    <t>Use</t>
  </si>
  <si>
    <r>
      <t>∆</t>
    </r>
    <r>
      <rPr>
        <i/>
        <sz val="12"/>
        <color theme="1"/>
        <rFont val="Calibri"/>
        <family val="2"/>
        <scheme val="minor"/>
      </rPr>
      <t>pigR</t>
    </r>
  </si>
  <si>
    <t>Square: 3 wells plated in duplicate x 2 strains (LVS, pmrAD51A); Round: 3 wells plated in duplicate x 2 strains (∆pmrA, ∆pigR), 2 plates for control wells</t>
  </si>
  <si>
    <t>Set</t>
  </si>
  <si>
    <t>Counts</t>
  </si>
  <si>
    <t>Average</t>
  </si>
  <si>
    <t>Cells per mL</t>
  </si>
  <si>
    <t>Number</t>
  </si>
  <si>
    <t>Strain</t>
  </si>
  <si>
    <t>OD600</t>
  </si>
  <si>
    <t>Dilute ~1:100 for final inoculum</t>
  </si>
  <si>
    <t>Resuspend cells to (OD600)</t>
  </si>
  <si>
    <t>Volume cells (uL)</t>
  </si>
  <si>
    <t>Volume media (uL)</t>
  </si>
  <si>
    <t>For final vol 1.3 mL at 0.028</t>
  </si>
  <si>
    <t>Media (x2, uL)</t>
  </si>
  <si>
    <t>Cells (uL)</t>
  </si>
  <si>
    <r>
      <t>dptA</t>
    </r>
    <r>
      <rPr>
        <sz val="12"/>
        <color theme="1"/>
        <rFont val="Calibri"/>
        <family val="2"/>
        <scheme val="minor"/>
      </rPr>
      <t>(-)Tn7:</t>
    </r>
    <r>
      <rPr>
        <i/>
        <sz val="12"/>
        <color theme="1"/>
        <rFont val="Calibri"/>
        <family val="2"/>
        <scheme val="minor"/>
      </rPr>
      <t>dptA</t>
    </r>
  </si>
  <si>
    <r>
      <t>dptA</t>
    </r>
    <r>
      <rPr>
        <sz val="12"/>
        <color theme="1"/>
        <rFont val="Calibri"/>
        <family val="2"/>
        <scheme val="minor"/>
      </rPr>
      <t>(-)</t>
    </r>
  </si>
  <si>
    <t>dptA(-)</t>
  </si>
  <si>
    <t>dptA(-)Tn7:dptA</t>
  </si>
  <si>
    <r>
      <rPr>
        <b/>
        <i/>
        <sz val="12"/>
        <color theme="1"/>
        <rFont val="Calibri"/>
        <family val="2"/>
        <scheme val="minor"/>
      </rPr>
      <t>dptA</t>
    </r>
    <r>
      <rPr>
        <b/>
        <sz val="12"/>
        <color theme="1"/>
        <rFont val="Calibri"/>
        <family val="2"/>
        <scheme val="minor"/>
      </rPr>
      <t>(-)Tn7:</t>
    </r>
    <r>
      <rPr>
        <b/>
        <i/>
        <sz val="12"/>
        <color theme="1"/>
        <rFont val="Calibri"/>
        <family val="2"/>
        <scheme val="minor"/>
      </rPr>
      <t>dptA</t>
    </r>
  </si>
  <si>
    <t>3C</t>
  </si>
  <si>
    <r>
      <t>∆</t>
    </r>
    <r>
      <rPr>
        <b/>
        <i/>
        <sz val="12"/>
        <color theme="1"/>
        <rFont val="Calibri"/>
        <family val="2"/>
        <scheme val="minor"/>
      </rPr>
      <t>pmrA</t>
    </r>
  </si>
  <si>
    <r>
      <t>∆</t>
    </r>
    <r>
      <rPr>
        <i/>
        <sz val="12"/>
        <color theme="1"/>
        <rFont val="Calibri"/>
        <family val="2"/>
        <scheme val="minor"/>
      </rPr>
      <t>pmrA</t>
    </r>
  </si>
  <si>
    <t>∆pmrA</t>
  </si>
  <si>
    <t>24 hours</t>
  </si>
  <si>
    <t>2 hours</t>
  </si>
  <si>
    <t>Bacterial Growth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</si>
</sst>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00"/>
    <numFmt numFmtId="166" formatCode="0.000"/>
  </numFmts>
  <fonts count="9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8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519">
    <xf numFmtId="0" fontId="0" fillId="0" borderId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</cellStyleXfs>
  <cellXfs count="80">
    <xf numFmtId="0" fontId="0" fillId="0" borderId="0" xfId="0"/>
    <xf numFmtId="0" fontId="0" fillId="0" borderId="1" xfId="0" applyBorder="1"/>
    <xf numFmtId="0" fontId="0" fillId="0" borderId="2" xfId="0" applyBorder="1" applyAlignment="1">
      <alignment horizontal="center"/>
    </xf>
    <xf numFmtId="0" fontId="1" fillId="0" borderId="0" xfId="0" applyFont="1"/>
    <xf numFmtId="0" fontId="0" fillId="0" borderId="3" xfId="0" applyBorder="1"/>
    <xf numFmtId="0" fontId="0" fillId="0" borderId="4" xfId="0" applyNumberFormat="1" applyBorder="1" applyAlignment="1">
      <alignment horizontal="center" vertical="center" wrapText="1"/>
    </xf>
    <xf numFmtId="0" fontId="0" fillId="0" borderId="5" xfId="0" applyNumberFormat="1" applyBorder="1" applyAlignment="1">
      <alignment horizontal="center" vertical="center" wrapText="1"/>
    </xf>
    <xf numFmtId="11" fontId="0" fillId="0" borderId="1" xfId="0" applyNumberFormat="1" applyBorder="1"/>
    <xf numFmtId="0" fontId="0" fillId="0" borderId="6" xfId="0" applyNumberFormat="1" applyBorder="1" applyAlignment="1">
      <alignment horizontal="center" vertical="center" wrapText="1"/>
    </xf>
    <xf numFmtId="0" fontId="0" fillId="0" borderId="1" xfId="0" applyNumberFormat="1" applyBorder="1" applyAlignment="1">
      <alignment horizontal="center" vertical="center" wrapText="1"/>
    </xf>
    <xf numFmtId="0" fontId="0" fillId="0" borderId="1" xfId="0" applyNumberFormat="1" applyBorder="1" applyAlignment="1">
      <alignment horizontal="center" vertical="center"/>
    </xf>
    <xf numFmtId="0" fontId="0" fillId="0" borderId="1" xfId="0" applyFont="1" applyBorder="1"/>
    <xf numFmtId="11" fontId="0" fillId="0" borderId="1" xfId="0" applyNumberFormat="1" applyBorder="1" applyAlignment="1">
      <alignment horizontal="center" vertical="center" wrapText="1"/>
    </xf>
    <xf numFmtId="0" fontId="0" fillId="0" borderId="1" xfId="0" applyNumberFormat="1" applyBorder="1"/>
    <xf numFmtId="0" fontId="0" fillId="0" borderId="6" xfId="0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11" fontId="0" fillId="0" borderId="1" xfId="0" applyNumberFormat="1" applyBorder="1" applyAlignment="1">
      <alignment horizontal="center" vertical="center"/>
    </xf>
    <xf numFmtId="2" fontId="0" fillId="0" borderId="1" xfId="0" applyNumberFormat="1" applyBorder="1"/>
    <xf numFmtId="0" fontId="0" fillId="0" borderId="1" xfId="0" applyFill="1" applyBorder="1"/>
    <xf numFmtId="11" fontId="0" fillId="0" borderId="0" xfId="0" applyNumberFormat="1"/>
    <xf numFmtId="0" fontId="0" fillId="0" borderId="0" xfId="0" applyBorder="1"/>
    <xf numFmtId="0" fontId="0" fillId="0" borderId="0" xfId="0" applyNumberFormat="1" applyBorder="1" applyAlignment="1">
      <alignment horizontal="center" vertical="center" wrapText="1"/>
    </xf>
    <xf numFmtId="0" fontId="1" fillId="0" borderId="1" xfId="0" applyFont="1" applyBorder="1" applyAlignment="1">
      <alignment horizontal="center" wrapText="1"/>
    </xf>
    <xf numFmtId="0" fontId="0" fillId="0" borderId="1" xfId="0" applyBorder="1" applyAlignment="1">
      <alignment horizontal="right"/>
    </xf>
    <xf numFmtId="11" fontId="0" fillId="0" borderId="1" xfId="0" applyNumberFormat="1" applyBorder="1" applyAlignment="1">
      <alignment horizontal="right"/>
    </xf>
    <xf numFmtId="0" fontId="0" fillId="0" borderId="1" xfId="0" applyBorder="1" applyAlignment="1">
      <alignment wrapText="1"/>
    </xf>
    <xf numFmtId="165" fontId="0" fillId="0" borderId="1" xfId="0" applyNumberFormat="1" applyBorder="1" applyAlignment="1">
      <alignment horizontal="right"/>
    </xf>
    <xf numFmtId="166" fontId="0" fillId="0" borderId="1" xfId="0" applyNumberFormat="1" applyBorder="1" applyAlignment="1">
      <alignment horizontal="right"/>
    </xf>
    <xf numFmtId="0" fontId="0" fillId="0" borderId="0" xfId="0" applyNumberFormat="1"/>
    <xf numFmtId="0" fontId="1" fillId="0" borderId="1" xfId="0" applyFont="1" applyBorder="1"/>
    <xf numFmtId="0" fontId="1" fillId="0" borderId="0" xfId="0" applyFont="1" applyBorder="1" applyAlignment="1">
      <alignment horizontal="center"/>
    </xf>
    <xf numFmtId="0" fontId="1" fillId="0" borderId="6" xfId="0" applyFont="1" applyBorder="1"/>
    <xf numFmtId="0" fontId="3" fillId="0" borderId="1" xfId="0" applyFont="1" applyBorder="1"/>
    <xf numFmtId="0" fontId="1" fillId="0" borderId="1" xfId="0" applyFont="1" applyBorder="1" applyAlignment="1">
      <alignment wrapText="1"/>
    </xf>
    <xf numFmtId="0" fontId="1" fillId="0" borderId="1" xfId="0" applyFont="1" applyFill="1" applyBorder="1" applyAlignment="1">
      <alignment horizontal="center" wrapText="1"/>
    </xf>
    <xf numFmtId="0" fontId="0" fillId="0" borderId="1" xfId="0" applyBorder="1" applyAlignment="1">
      <alignment horizontal="center"/>
    </xf>
    <xf numFmtId="0" fontId="0" fillId="0" borderId="1" xfId="0" applyFont="1" applyBorder="1" applyAlignment="1">
      <alignment horizontal="right"/>
    </xf>
    <xf numFmtId="164" fontId="0" fillId="0" borderId="1" xfId="0" applyNumberFormat="1" applyBorder="1"/>
    <xf numFmtId="1" fontId="0" fillId="0" borderId="1" xfId="0" applyNumberFormat="1" applyBorder="1"/>
    <xf numFmtId="0" fontId="0" fillId="0" borderId="1" xfId="0" applyFill="1" applyBorder="1" applyAlignment="1">
      <alignment horizontal="center"/>
    </xf>
    <xf numFmtId="0" fontId="1" fillId="0" borderId="0" xfId="0" applyFont="1" applyBorder="1"/>
    <xf numFmtId="0" fontId="1" fillId="0" borderId="0" xfId="0" applyFont="1" applyBorder="1" applyAlignment="1"/>
    <xf numFmtId="0" fontId="1" fillId="0" borderId="7" xfId="0" applyFont="1" applyBorder="1" applyAlignment="1">
      <alignment horizontal="center"/>
    </xf>
    <xf numFmtId="0" fontId="0" fillId="0" borderId="7" xfId="0" applyBorder="1"/>
    <xf numFmtId="0" fontId="1" fillId="0" borderId="1" xfId="0" applyFont="1" applyBorder="1" applyAlignment="1">
      <alignment horizontal="right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right"/>
    </xf>
    <xf numFmtId="0" fontId="0" fillId="0" borderId="1" xfId="0" applyFill="1" applyBorder="1" applyAlignment="1">
      <alignment horizontal="right"/>
    </xf>
    <xf numFmtId="0" fontId="1" fillId="0" borderId="1" xfId="0" applyFont="1" applyBorder="1" applyAlignment="1">
      <alignment horizontal="center"/>
    </xf>
    <xf numFmtId="0" fontId="1" fillId="0" borderId="0" xfId="0" applyFont="1" applyBorder="1" applyAlignment="1">
      <alignment wrapText="1"/>
    </xf>
    <xf numFmtId="11" fontId="0" fillId="0" borderId="0" xfId="0" applyNumberFormat="1" applyBorder="1"/>
    <xf numFmtId="0" fontId="0" fillId="0" borderId="1" xfId="0" applyBorder="1" applyAlignment="1">
      <alignment horizontal="center" vertical="center"/>
    </xf>
    <xf numFmtId="0" fontId="1" fillId="0" borderId="0" xfId="0" applyFont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0" fontId="0" fillId="0" borderId="0" xfId="0" applyAlignment="1">
      <alignment horizontal="left"/>
    </xf>
    <xf numFmtId="0" fontId="1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0" fillId="0" borderId="8" xfId="0" applyBorder="1" applyAlignment="1">
      <alignment horizontal="right"/>
    </xf>
    <xf numFmtId="0" fontId="0" fillId="0" borderId="0" xfId="0" applyAlignment="1">
      <alignment horizontal="right"/>
    </xf>
    <xf numFmtId="0" fontId="1" fillId="0" borderId="8" xfId="0" applyFont="1" applyBorder="1" applyAlignment="1">
      <alignment horizontal="right"/>
    </xf>
    <xf numFmtId="0" fontId="7" fillId="0" borderId="1" xfId="0" applyNumberFormat="1" applyFont="1" applyBorder="1" applyAlignment="1">
      <alignment horizontal="center" vertical="center" wrapText="1"/>
    </xf>
    <xf numFmtId="1" fontId="0" fillId="0" borderId="0" xfId="0" applyNumberFormat="1"/>
    <xf numFmtId="0" fontId="1" fillId="0" borderId="1" xfId="0" applyFont="1" applyFill="1" applyBorder="1" applyAlignment="1">
      <alignment wrapText="1"/>
    </xf>
    <xf numFmtId="0" fontId="1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11" fontId="0" fillId="0" borderId="1" xfId="0" applyNumberFormat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0" fontId="0" fillId="0" borderId="9" xfId="0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/>
    </xf>
    <xf numFmtId="166" fontId="0" fillId="0" borderId="1" xfId="0" applyNumberForma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7" xfId="0" applyFont="1" applyBorder="1" applyAlignment="1">
      <alignment horizontal="center"/>
    </xf>
    <xf numFmtId="0" fontId="0" fillId="0" borderId="1" xfId="0" applyBorder="1" applyAlignment="1">
      <alignment horizontal="left"/>
    </xf>
  </cellXfs>
  <cellStyles count="519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Followed Hyperlink" xfId="326" builtinId="9" hidden="1"/>
    <cellStyle name="Followed Hyperlink" xfId="328" builtinId="9" hidden="1"/>
    <cellStyle name="Followed Hyperlink" xfId="330" builtinId="9" hidden="1"/>
    <cellStyle name="Followed Hyperlink" xfId="332" builtinId="9" hidden="1"/>
    <cellStyle name="Followed Hyperlink" xfId="334" builtinId="9" hidden="1"/>
    <cellStyle name="Followed Hyperlink" xfId="336" builtinId="9" hidden="1"/>
    <cellStyle name="Followed Hyperlink" xfId="338" builtinId="9" hidden="1"/>
    <cellStyle name="Followed Hyperlink" xfId="340" builtinId="9" hidden="1"/>
    <cellStyle name="Followed Hyperlink" xfId="342" builtinId="9" hidden="1"/>
    <cellStyle name="Followed Hyperlink" xfId="344" builtinId="9" hidden="1"/>
    <cellStyle name="Followed Hyperlink" xfId="346" builtinId="9" hidden="1"/>
    <cellStyle name="Followed Hyperlink" xfId="348" builtinId="9" hidden="1"/>
    <cellStyle name="Followed Hyperlink" xfId="350" builtinId="9" hidden="1"/>
    <cellStyle name="Followed Hyperlink" xfId="352" builtinId="9" hidden="1"/>
    <cellStyle name="Followed Hyperlink" xfId="354" builtinId="9" hidden="1"/>
    <cellStyle name="Followed Hyperlink" xfId="356" builtinId="9" hidden="1"/>
    <cellStyle name="Followed Hyperlink" xfId="358" builtinId="9" hidden="1"/>
    <cellStyle name="Followed Hyperlink" xfId="360" builtinId="9" hidden="1"/>
    <cellStyle name="Followed Hyperlink" xfId="362" builtinId="9" hidden="1"/>
    <cellStyle name="Followed Hyperlink" xfId="364" builtinId="9" hidden="1"/>
    <cellStyle name="Followed Hyperlink" xfId="366" builtinId="9" hidden="1"/>
    <cellStyle name="Followed Hyperlink" xfId="368" builtinId="9" hidden="1"/>
    <cellStyle name="Followed Hyperlink" xfId="370" builtinId="9" hidden="1"/>
    <cellStyle name="Followed Hyperlink" xfId="372" builtinId="9" hidden="1"/>
    <cellStyle name="Followed Hyperlink" xfId="374" builtinId="9" hidden="1"/>
    <cellStyle name="Followed Hyperlink" xfId="376" builtinId="9" hidden="1"/>
    <cellStyle name="Followed Hyperlink" xfId="378" builtinId="9" hidden="1"/>
    <cellStyle name="Followed Hyperlink" xfId="380" builtinId="9" hidden="1"/>
    <cellStyle name="Followed Hyperlink" xfId="382" builtinId="9" hidden="1"/>
    <cellStyle name="Followed Hyperlink" xfId="384" builtinId="9" hidden="1"/>
    <cellStyle name="Followed Hyperlink" xfId="386" builtinId="9" hidden="1"/>
    <cellStyle name="Followed Hyperlink" xfId="388" builtinId="9" hidden="1"/>
    <cellStyle name="Followed Hyperlink" xfId="390" builtinId="9" hidden="1"/>
    <cellStyle name="Followed Hyperlink" xfId="392" builtinId="9" hidden="1"/>
    <cellStyle name="Followed Hyperlink" xfId="394" builtinId="9" hidden="1"/>
    <cellStyle name="Followed Hyperlink" xfId="396" builtinId="9" hidden="1"/>
    <cellStyle name="Followed Hyperlink" xfId="398" builtinId="9" hidden="1"/>
    <cellStyle name="Followed Hyperlink" xfId="400" builtinId="9" hidden="1"/>
    <cellStyle name="Followed Hyperlink" xfId="402" builtinId="9" hidden="1"/>
    <cellStyle name="Followed Hyperlink" xfId="404" builtinId="9" hidden="1"/>
    <cellStyle name="Followed Hyperlink" xfId="406" builtinId="9" hidden="1"/>
    <cellStyle name="Followed Hyperlink" xfId="408" builtinId="9" hidden="1"/>
    <cellStyle name="Followed Hyperlink" xfId="410" builtinId="9" hidden="1"/>
    <cellStyle name="Followed Hyperlink" xfId="412" builtinId="9" hidden="1"/>
    <cellStyle name="Followed Hyperlink" xfId="414" builtinId="9" hidden="1"/>
    <cellStyle name="Followed Hyperlink" xfId="416" builtinId="9" hidden="1"/>
    <cellStyle name="Followed Hyperlink" xfId="418" builtinId="9" hidden="1"/>
    <cellStyle name="Followed Hyperlink" xfId="420" builtinId="9" hidden="1"/>
    <cellStyle name="Followed Hyperlink" xfId="422" builtinId="9" hidden="1"/>
    <cellStyle name="Followed Hyperlink" xfId="424" builtinId="9" hidden="1"/>
    <cellStyle name="Followed Hyperlink" xfId="426" builtinId="9" hidden="1"/>
    <cellStyle name="Followed Hyperlink" xfId="428" builtinId="9" hidden="1"/>
    <cellStyle name="Followed Hyperlink" xfId="430" builtinId="9" hidden="1"/>
    <cellStyle name="Followed Hyperlink" xfId="432" builtinId="9" hidden="1"/>
    <cellStyle name="Followed Hyperlink" xfId="434" builtinId="9" hidden="1"/>
    <cellStyle name="Followed Hyperlink" xfId="436" builtinId="9" hidden="1"/>
    <cellStyle name="Followed Hyperlink" xfId="438" builtinId="9" hidden="1"/>
    <cellStyle name="Followed Hyperlink" xfId="440" builtinId="9" hidden="1"/>
    <cellStyle name="Followed Hyperlink" xfId="442" builtinId="9" hidden="1"/>
    <cellStyle name="Followed Hyperlink" xfId="444" builtinId="9" hidden="1"/>
    <cellStyle name="Followed Hyperlink" xfId="446" builtinId="9" hidden="1"/>
    <cellStyle name="Followed Hyperlink" xfId="448" builtinId="9" hidden="1"/>
    <cellStyle name="Followed Hyperlink" xfId="450" builtinId="9" hidden="1"/>
    <cellStyle name="Followed Hyperlink" xfId="452" builtinId="9" hidden="1"/>
    <cellStyle name="Followed Hyperlink" xfId="454" builtinId="9" hidden="1"/>
    <cellStyle name="Followed Hyperlink" xfId="456" builtinId="9" hidden="1"/>
    <cellStyle name="Followed Hyperlink" xfId="458" builtinId="9" hidden="1"/>
    <cellStyle name="Followed Hyperlink" xfId="460" builtinId="9" hidden="1"/>
    <cellStyle name="Followed Hyperlink" xfId="462" builtinId="9" hidden="1"/>
    <cellStyle name="Followed Hyperlink" xfId="464" builtinId="9" hidden="1"/>
    <cellStyle name="Followed Hyperlink" xfId="466" builtinId="9" hidden="1"/>
    <cellStyle name="Followed Hyperlink" xfId="468" builtinId="9" hidden="1"/>
    <cellStyle name="Followed Hyperlink" xfId="470" builtinId="9" hidden="1"/>
    <cellStyle name="Followed Hyperlink" xfId="472" builtinId="9" hidden="1"/>
    <cellStyle name="Followed Hyperlink" xfId="474" builtinId="9" hidden="1"/>
    <cellStyle name="Followed Hyperlink" xfId="476" builtinId="9" hidden="1"/>
    <cellStyle name="Followed Hyperlink" xfId="478" builtinId="9" hidden="1"/>
    <cellStyle name="Followed Hyperlink" xfId="480" builtinId="9" hidden="1"/>
    <cellStyle name="Followed Hyperlink" xfId="482" builtinId="9" hidden="1"/>
    <cellStyle name="Followed Hyperlink" xfId="484" builtinId="9" hidden="1"/>
    <cellStyle name="Followed Hyperlink" xfId="486" builtinId="9" hidden="1"/>
    <cellStyle name="Followed Hyperlink" xfId="488" builtinId="9" hidden="1"/>
    <cellStyle name="Followed Hyperlink" xfId="490" builtinId="9" hidden="1"/>
    <cellStyle name="Followed Hyperlink" xfId="492" builtinId="9" hidden="1"/>
    <cellStyle name="Followed Hyperlink" xfId="494" builtinId="9" hidden="1"/>
    <cellStyle name="Followed Hyperlink" xfId="496" builtinId="9" hidden="1"/>
    <cellStyle name="Followed Hyperlink" xfId="498" builtinId="9" hidden="1"/>
    <cellStyle name="Followed Hyperlink" xfId="500" builtinId="9" hidden="1"/>
    <cellStyle name="Followed Hyperlink" xfId="502" builtinId="9" hidden="1"/>
    <cellStyle name="Followed Hyperlink" xfId="504" builtinId="9" hidden="1"/>
    <cellStyle name="Followed Hyperlink" xfId="506" builtinId="9" hidden="1"/>
    <cellStyle name="Followed Hyperlink" xfId="508" builtinId="9" hidden="1"/>
    <cellStyle name="Followed Hyperlink" xfId="510" builtinId="9" hidden="1"/>
    <cellStyle name="Followed Hyperlink" xfId="512" builtinId="9" hidden="1"/>
    <cellStyle name="Followed Hyperlink" xfId="514" builtinId="9" hidden="1"/>
    <cellStyle name="Followed Hyperlink" xfId="516" builtinId="9" hidden="1"/>
    <cellStyle name="Followed Hyperlink" xfId="518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59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Hyperlink" xfId="373" builtinId="8" hidden="1"/>
    <cellStyle name="Hyperlink" xfId="375" builtinId="8" hidden="1"/>
    <cellStyle name="Hyperlink" xfId="377" builtinId="8" hidden="1"/>
    <cellStyle name="Hyperlink" xfId="379" builtinId="8" hidden="1"/>
    <cellStyle name="Hyperlink" xfId="381" builtinId="8" hidden="1"/>
    <cellStyle name="Hyperlink" xfId="383" builtinId="8" hidden="1"/>
    <cellStyle name="Hyperlink" xfId="385" builtinId="8" hidden="1"/>
    <cellStyle name="Hyperlink" xfId="387" builtinId="8" hidden="1"/>
    <cellStyle name="Hyperlink" xfId="389" builtinId="8" hidden="1"/>
    <cellStyle name="Hyperlink" xfId="391" builtinId="8" hidden="1"/>
    <cellStyle name="Hyperlink" xfId="393" builtinId="8" hidden="1"/>
    <cellStyle name="Hyperlink" xfId="395" builtinId="8" hidden="1"/>
    <cellStyle name="Hyperlink" xfId="397" builtinId="8" hidden="1"/>
    <cellStyle name="Hyperlink" xfId="399" builtinId="8" hidden="1"/>
    <cellStyle name="Hyperlink" xfId="401" builtinId="8" hidden="1"/>
    <cellStyle name="Hyperlink" xfId="403" builtinId="8" hidden="1"/>
    <cellStyle name="Hyperlink" xfId="405" builtinId="8" hidden="1"/>
    <cellStyle name="Hyperlink" xfId="407" builtinId="8" hidden="1"/>
    <cellStyle name="Hyperlink" xfId="409" builtinId="8" hidden="1"/>
    <cellStyle name="Hyperlink" xfId="411" builtinId="8" hidden="1"/>
    <cellStyle name="Hyperlink" xfId="413" builtinId="8" hidden="1"/>
    <cellStyle name="Hyperlink" xfId="415" builtinId="8" hidden="1"/>
    <cellStyle name="Hyperlink" xfId="417" builtinId="8" hidden="1"/>
    <cellStyle name="Hyperlink" xfId="419" builtinId="8" hidden="1"/>
    <cellStyle name="Hyperlink" xfId="421" builtinId="8" hidden="1"/>
    <cellStyle name="Hyperlink" xfId="423" builtinId="8" hidden="1"/>
    <cellStyle name="Hyperlink" xfId="425" builtinId="8" hidden="1"/>
    <cellStyle name="Hyperlink" xfId="427" builtinId="8" hidden="1"/>
    <cellStyle name="Hyperlink" xfId="429" builtinId="8" hidden="1"/>
    <cellStyle name="Hyperlink" xfId="431" builtinId="8" hidden="1"/>
    <cellStyle name="Hyperlink" xfId="433" builtinId="8" hidden="1"/>
    <cellStyle name="Hyperlink" xfId="435" builtinId="8" hidden="1"/>
    <cellStyle name="Hyperlink" xfId="437" builtinId="8" hidden="1"/>
    <cellStyle name="Hyperlink" xfId="439" builtinId="8" hidden="1"/>
    <cellStyle name="Hyperlink" xfId="441" builtinId="8" hidden="1"/>
    <cellStyle name="Hyperlink" xfId="443" builtinId="8" hidden="1"/>
    <cellStyle name="Hyperlink" xfId="445" builtinId="8" hidden="1"/>
    <cellStyle name="Hyperlink" xfId="447" builtinId="8" hidden="1"/>
    <cellStyle name="Hyperlink" xfId="449" builtinId="8" hidden="1"/>
    <cellStyle name="Hyperlink" xfId="451" builtinId="8" hidden="1"/>
    <cellStyle name="Hyperlink" xfId="453" builtinId="8" hidden="1"/>
    <cellStyle name="Hyperlink" xfId="455" builtinId="8" hidden="1"/>
    <cellStyle name="Hyperlink" xfId="457" builtinId="8" hidden="1"/>
    <cellStyle name="Hyperlink" xfId="459" builtinId="8" hidden="1"/>
    <cellStyle name="Hyperlink" xfId="461" builtinId="8" hidden="1"/>
    <cellStyle name="Hyperlink" xfId="463" builtinId="8" hidden="1"/>
    <cellStyle name="Hyperlink" xfId="465" builtinId="8" hidden="1"/>
    <cellStyle name="Hyperlink" xfId="467" builtinId="8" hidden="1"/>
    <cellStyle name="Hyperlink" xfId="469" builtinId="8" hidden="1"/>
    <cellStyle name="Hyperlink" xfId="471" builtinId="8" hidden="1"/>
    <cellStyle name="Hyperlink" xfId="473" builtinId="8" hidden="1"/>
    <cellStyle name="Hyperlink" xfId="475" builtinId="8" hidden="1"/>
    <cellStyle name="Hyperlink" xfId="477" builtinId="8" hidden="1"/>
    <cellStyle name="Hyperlink" xfId="479" builtinId="8" hidden="1"/>
    <cellStyle name="Hyperlink" xfId="481" builtinId="8" hidden="1"/>
    <cellStyle name="Hyperlink" xfId="483" builtinId="8" hidden="1"/>
    <cellStyle name="Hyperlink" xfId="485" builtinId="8" hidden="1"/>
    <cellStyle name="Hyperlink" xfId="487" builtinId="8" hidden="1"/>
    <cellStyle name="Hyperlink" xfId="489" builtinId="8" hidden="1"/>
    <cellStyle name="Hyperlink" xfId="491" builtinId="8" hidden="1"/>
    <cellStyle name="Hyperlink" xfId="493" builtinId="8" hidden="1"/>
    <cellStyle name="Hyperlink" xfId="495" builtinId="8" hidden="1"/>
    <cellStyle name="Hyperlink" xfId="497" builtinId="8" hidden="1"/>
    <cellStyle name="Hyperlink" xfId="499" builtinId="8" hidden="1"/>
    <cellStyle name="Hyperlink" xfId="501" builtinId="8" hidden="1"/>
    <cellStyle name="Hyperlink" xfId="503" builtinId="8" hidden="1"/>
    <cellStyle name="Hyperlink" xfId="505" builtinId="8" hidden="1"/>
    <cellStyle name="Hyperlink" xfId="507" builtinId="8" hidden="1"/>
    <cellStyle name="Hyperlink" xfId="509" builtinId="8" hidden="1"/>
    <cellStyle name="Hyperlink" xfId="511" builtinId="8" hidden="1"/>
    <cellStyle name="Hyperlink" xfId="513" builtinId="8" hidden="1"/>
    <cellStyle name="Hyperlink" xfId="515" builtinId="8" hidden="1"/>
    <cellStyle name="Hyperlink" xfId="517" builtinId="8" hidden="1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Inoculum!$B$13</c:f>
              <c:strCache>
                <c:ptCount val="1"/>
                <c:pt idx="0">
                  <c:v>CFU/well</c:v>
                </c:pt>
              </c:strCache>
            </c:strRef>
          </c:tx>
          <c:invertIfNegative val="0"/>
          <c:errBars>
            <c:errBarType val="both"/>
            <c:errValType val="cust"/>
            <c:noEndCap val="0"/>
            <c:plus>
              <c:numRef>
                <c:f>Inoculum!$C$14:$C$17</c:f>
                <c:numCache>
                  <c:formatCode>General</c:formatCode>
                  <c:ptCount val="4"/>
                  <c:pt idx="0">
                    <c:v>17677.669529663672</c:v>
                  </c:pt>
                  <c:pt idx="1">
                    <c:v>21213.203435596428</c:v>
                  </c:pt>
                  <c:pt idx="2">
                    <c:v>24748.737341529115</c:v>
                  </c:pt>
                  <c:pt idx="3">
                    <c:v>0</c:v>
                  </c:pt>
                </c:numCache>
              </c:numRef>
            </c:plus>
            <c:minus>
              <c:numRef>
                <c:f>Inoculum!$C$14:$C$17</c:f>
                <c:numCache>
                  <c:formatCode>General</c:formatCode>
                  <c:ptCount val="4"/>
                  <c:pt idx="0">
                    <c:v>17677.669529663672</c:v>
                  </c:pt>
                  <c:pt idx="1">
                    <c:v>21213.203435596428</c:v>
                  </c:pt>
                  <c:pt idx="2">
                    <c:v>24748.737341529115</c:v>
                  </c:pt>
                  <c:pt idx="3">
                    <c:v>0</c:v>
                  </c:pt>
                </c:numCache>
              </c:numRef>
            </c:minus>
          </c:errBars>
          <c:cat>
            <c:strRef>
              <c:f>Inoculum!$A$14:$A$17</c:f>
              <c:strCache>
                <c:ptCount val="4"/>
                <c:pt idx="0">
                  <c:v>LVS</c:v>
                </c:pt>
                <c:pt idx="1">
                  <c:v>dptA(-)</c:v>
                </c:pt>
                <c:pt idx="2">
                  <c:v>dptA(-)Tn7:dptA</c:v>
                </c:pt>
                <c:pt idx="3">
                  <c:v>∆pmrA</c:v>
                </c:pt>
              </c:strCache>
            </c:strRef>
          </c:cat>
          <c:val>
            <c:numRef>
              <c:f>Inoculum!$B$14:$B$17</c:f>
              <c:numCache>
                <c:formatCode>0.00E+00</c:formatCode>
                <c:ptCount val="4"/>
                <c:pt idx="0">
                  <c:v>142500</c:v>
                </c:pt>
                <c:pt idx="1">
                  <c:v>110000</c:v>
                </c:pt>
                <c:pt idx="2">
                  <c:v>97500</c:v>
                </c:pt>
                <c:pt idx="3">
                  <c:v>85000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57-9243-A823-DF797AE1FF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93418248"/>
        <c:axId val="1793373688"/>
      </c:barChart>
      <c:catAx>
        <c:axId val="1793418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793373688"/>
        <c:crosses val="autoZero"/>
        <c:auto val="1"/>
        <c:lblAlgn val="ctr"/>
        <c:lblOffset val="100"/>
        <c:noMultiLvlLbl val="0"/>
      </c:catAx>
      <c:valAx>
        <c:axId val="1793373688"/>
        <c:scaling>
          <c:logBase val="10"/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Inoculumn</a:t>
                </a:r>
                <a:r>
                  <a:rPr lang="en-US" baseline="0"/>
                  <a:t> (CFU/well)</a:t>
                </a:r>
                <a:endParaRPr lang="en-US"/>
              </a:p>
            </c:rich>
          </c:tx>
          <c:overlay val="0"/>
        </c:title>
        <c:numFmt formatCode="0.E+00" sourceLinked="0"/>
        <c:majorTickMark val="out"/>
        <c:minorTickMark val="none"/>
        <c:tickLblPos val="nextTo"/>
        <c:crossAx val="17934182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086683395344814"/>
          <c:y val="5.9821077052868397E-2"/>
          <c:w val="0.81243921432897814"/>
          <c:h val="0.76724845380486606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errBars>
            <c:errBarType val="both"/>
            <c:errValType val="cust"/>
            <c:noEndCap val="0"/>
            <c:plus>
              <c:numRef>
                <c:f>'T=2'!$L$3:$L$6</c:f>
                <c:numCache>
                  <c:formatCode>General</c:formatCode>
                  <c:ptCount val="4"/>
                  <c:pt idx="0">
                    <c:v>11.372481406154655</c:v>
                  </c:pt>
                  <c:pt idx="1">
                    <c:v>10.066445913694334</c:v>
                  </c:pt>
                  <c:pt idx="2">
                    <c:v>9.0184995056457904</c:v>
                  </c:pt>
                  <c:pt idx="3">
                    <c:v>21.93931022920578</c:v>
                  </c:pt>
                </c:numCache>
              </c:numRef>
            </c:plus>
            <c:minus>
              <c:numRef>
                <c:f>'T=2'!$L$3:$L$6</c:f>
                <c:numCache>
                  <c:formatCode>General</c:formatCode>
                  <c:ptCount val="4"/>
                  <c:pt idx="0">
                    <c:v>11.372481406154655</c:v>
                  </c:pt>
                  <c:pt idx="1">
                    <c:v>10.066445913694334</c:v>
                  </c:pt>
                  <c:pt idx="2">
                    <c:v>9.0184995056457904</c:v>
                  </c:pt>
                  <c:pt idx="3">
                    <c:v>21.93931022920578</c:v>
                  </c:pt>
                </c:numCache>
              </c:numRef>
            </c:minus>
          </c:errBars>
          <c:cat>
            <c:strRef>
              <c:f>'T=2'!$J$3:$J$6</c:f>
              <c:strCache>
                <c:ptCount val="4"/>
                <c:pt idx="0">
                  <c:v>LVS</c:v>
                </c:pt>
                <c:pt idx="1">
                  <c:v>dptA(-)</c:v>
                </c:pt>
                <c:pt idx="2">
                  <c:v>dptA(-)Tn7:dptA</c:v>
                </c:pt>
                <c:pt idx="3">
                  <c:v>∆pmrA</c:v>
                </c:pt>
              </c:strCache>
            </c:strRef>
          </c:cat>
          <c:val>
            <c:numRef>
              <c:f>'T=2'!$K$3:$K$6</c:f>
              <c:numCache>
                <c:formatCode>0.00E+00</c:formatCode>
                <c:ptCount val="4"/>
                <c:pt idx="0">
                  <c:v>20.666666666666668</c:v>
                </c:pt>
                <c:pt idx="1">
                  <c:v>11.333333333333334</c:v>
                </c:pt>
                <c:pt idx="2">
                  <c:v>23.333333333333332</c:v>
                </c:pt>
                <c:pt idx="3">
                  <c:v>20.666666666666668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70-D844-9E5D-E914FA6887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93656808"/>
        <c:axId val="1793638376"/>
      </c:barChart>
      <c:catAx>
        <c:axId val="17936568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1793638376"/>
        <c:crosses val="autoZero"/>
        <c:auto val="1"/>
        <c:lblAlgn val="ctr"/>
        <c:lblOffset val="100"/>
        <c:noMultiLvlLbl val="0"/>
      </c:catAx>
      <c:valAx>
        <c:axId val="1793638376"/>
        <c:scaling>
          <c:logBase val="10"/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CFU Recovered</a:t>
                </a:r>
              </a:p>
            </c:rich>
          </c:tx>
          <c:layout>
            <c:manualLayout>
              <c:xMode val="edge"/>
              <c:yMode val="edge"/>
              <c:x val="1.02669404517454E-2"/>
              <c:y val="0.18607775590551201"/>
            </c:manualLayout>
          </c:layout>
          <c:overlay val="0"/>
        </c:title>
        <c:numFmt formatCode="0.E+00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17936568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202281567213699"/>
          <c:y val="4.4444444444444398E-2"/>
          <c:w val="0.696153353571767"/>
          <c:h val="0.781373985228590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'T=24'!$N$2</c:f>
              <c:strCache>
                <c:ptCount val="1"/>
                <c:pt idx="0">
                  <c:v>Average CFU per well</c:v>
                </c:pt>
              </c:strCache>
            </c:strRef>
          </c:tx>
          <c:invertIfNegative val="0"/>
          <c:errBars>
            <c:errBarType val="both"/>
            <c:errValType val="cust"/>
            <c:noEndCap val="0"/>
            <c:plus>
              <c:numRef>
                <c:f>'T=24'!$O$3:$O$5</c:f>
                <c:numCache>
                  <c:formatCode>General</c:formatCode>
                  <c:ptCount val="3"/>
                  <c:pt idx="0">
                    <c:v>10016.65280087781</c:v>
                  </c:pt>
                  <c:pt idx="1">
                    <c:v>11.547005383792515</c:v>
                  </c:pt>
                  <c:pt idx="2">
                    <c:v>5033.2229568471666</c:v>
                  </c:pt>
                </c:numCache>
              </c:numRef>
            </c:plus>
            <c:minus>
              <c:numRef>
                <c:f>'T=24'!$O$3:$O$5</c:f>
                <c:numCache>
                  <c:formatCode>General</c:formatCode>
                  <c:ptCount val="3"/>
                  <c:pt idx="0">
                    <c:v>10016.65280087781</c:v>
                  </c:pt>
                  <c:pt idx="1">
                    <c:v>11.547005383792515</c:v>
                  </c:pt>
                  <c:pt idx="2">
                    <c:v>5033.2229568471666</c:v>
                  </c:pt>
                </c:numCache>
              </c:numRef>
            </c:minus>
          </c:errBars>
          <c:cat>
            <c:strRef>
              <c:f>'T=24'!$M$3:$M$5</c:f>
              <c:strCache>
                <c:ptCount val="3"/>
                <c:pt idx="0">
                  <c:v>LVS</c:v>
                </c:pt>
                <c:pt idx="1">
                  <c:v>dptA(-)</c:v>
                </c:pt>
                <c:pt idx="2">
                  <c:v>dptA(-)Tn7:dptA</c:v>
                </c:pt>
              </c:strCache>
            </c:strRef>
          </c:cat>
          <c:val>
            <c:numRef>
              <c:f>'T=24'!$N$3:$N$5</c:f>
              <c:numCache>
                <c:formatCode>0.00E+00</c:formatCode>
                <c:ptCount val="3"/>
                <c:pt idx="0">
                  <c:v>30666.666666666668</c:v>
                </c:pt>
                <c:pt idx="1">
                  <c:v>6.666666666666667</c:v>
                </c:pt>
                <c:pt idx="2">
                  <c:v>46333.333333333336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9C-1340-A0AC-6C65CBE06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94037064"/>
        <c:axId val="1793997192"/>
      </c:barChart>
      <c:catAx>
        <c:axId val="17940370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93997192"/>
        <c:crosses val="autoZero"/>
        <c:auto val="1"/>
        <c:lblAlgn val="ctr"/>
        <c:lblOffset val="100"/>
        <c:noMultiLvlLbl val="0"/>
      </c:catAx>
      <c:valAx>
        <c:axId val="1793997192"/>
        <c:scaling>
          <c:logBase val="10"/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800"/>
                </a:pPr>
                <a:r>
                  <a:rPr lang="en-US" sz="1800"/>
                  <a:t>CFU per well</a:t>
                </a:r>
              </a:p>
            </c:rich>
          </c:tx>
          <c:layout>
            <c:manualLayout>
              <c:xMode val="edge"/>
              <c:yMode val="edge"/>
              <c:x val="5.0508696554918504E-3"/>
              <c:y val="0.20376786235053901"/>
            </c:manualLayout>
          </c:layout>
          <c:overlay val="0"/>
        </c:title>
        <c:numFmt formatCode="0.E+00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17940370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202281567213699"/>
          <c:y val="4.4444444444444398E-2"/>
          <c:w val="0.696153353571767"/>
          <c:h val="0.78137398522859058"/>
        </c:manualLayout>
      </c:layout>
      <c:barChart>
        <c:barDir val="col"/>
        <c:grouping val="clustered"/>
        <c:varyColors val="0"/>
        <c:ser>
          <c:idx val="0"/>
          <c:order val="0"/>
          <c:tx>
            <c:v>T=2</c:v>
          </c:tx>
          <c:invertIfNegative val="0"/>
          <c:errBars>
            <c:errBarType val="both"/>
            <c:errValType val="cust"/>
            <c:noEndCap val="0"/>
            <c:plus>
              <c:numRef>
                <c:f>'T=24'!$W$3:$W$5</c:f>
                <c:numCache>
                  <c:formatCode>General</c:formatCode>
                  <c:ptCount val="3"/>
                  <c:pt idx="0">
                    <c:v>11.372481406154655</c:v>
                  </c:pt>
                  <c:pt idx="1">
                    <c:v>10.066445913694334</c:v>
                  </c:pt>
                  <c:pt idx="2">
                    <c:v>9.0184995056457904</c:v>
                  </c:pt>
                </c:numCache>
              </c:numRef>
            </c:plus>
            <c:minus>
              <c:numRef>
                <c:f>'T=24'!$W$3:$W$5</c:f>
                <c:numCache>
                  <c:formatCode>General</c:formatCode>
                  <c:ptCount val="3"/>
                  <c:pt idx="0">
                    <c:v>11.372481406154655</c:v>
                  </c:pt>
                  <c:pt idx="1">
                    <c:v>10.066445913694334</c:v>
                  </c:pt>
                  <c:pt idx="2">
                    <c:v>9.0184995056457904</c:v>
                  </c:pt>
                </c:numCache>
              </c:numRef>
            </c:minus>
          </c:errBars>
          <c:cat>
            <c:strRef>
              <c:f>'T=24'!$M$3:$M$5</c:f>
              <c:strCache>
                <c:ptCount val="3"/>
                <c:pt idx="0">
                  <c:v>LVS</c:v>
                </c:pt>
                <c:pt idx="1">
                  <c:v>dptA(-)</c:v>
                </c:pt>
                <c:pt idx="2">
                  <c:v>dptA(-)Tn7:dptA</c:v>
                </c:pt>
              </c:strCache>
            </c:strRef>
          </c:cat>
          <c:val>
            <c:numRef>
              <c:f>'T=24'!$V$3:$V$5</c:f>
              <c:numCache>
                <c:formatCode>0.00E+00</c:formatCode>
                <c:ptCount val="3"/>
                <c:pt idx="0">
                  <c:v>20.666666666666668</c:v>
                </c:pt>
                <c:pt idx="1">
                  <c:v>11.333333333333334</c:v>
                </c:pt>
                <c:pt idx="2">
                  <c:v>23.333333333333332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4B-4942-B6DE-EF439A5DDB4B}"/>
            </c:ext>
          </c:extLst>
        </c:ser>
        <c:ser>
          <c:idx val="1"/>
          <c:order val="1"/>
          <c:tx>
            <c:v>T=24</c:v>
          </c:tx>
          <c:invertIfNegative val="0"/>
          <c:errBars>
            <c:errBarType val="both"/>
            <c:errValType val="cust"/>
            <c:noEndCap val="0"/>
            <c:plus>
              <c:numRef>
                <c:f>'T=24'!$O$3:$O$6</c:f>
                <c:numCache>
                  <c:formatCode>General</c:formatCode>
                  <c:ptCount val="4"/>
                  <c:pt idx="0">
                    <c:v>10016.65280087781</c:v>
                  </c:pt>
                  <c:pt idx="1">
                    <c:v>11.547005383792515</c:v>
                  </c:pt>
                  <c:pt idx="2">
                    <c:v>5033.2229568471666</c:v>
                  </c:pt>
                </c:numCache>
              </c:numRef>
            </c:plus>
            <c:minus>
              <c:numRef>
                <c:f>'T=24'!$O$3:$O$6</c:f>
                <c:numCache>
                  <c:formatCode>General</c:formatCode>
                  <c:ptCount val="4"/>
                  <c:pt idx="0">
                    <c:v>10016.65280087781</c:v>
                  </c:pt>
                  <c:pt idx="1">
                    <c:v>11.547005383792515</c:v>
                  </c:pt>
                  <c:pt idx="2">
                    <c:v>5033.2229568471666</c:v>
                  </c:pt>
                </c:numCache>
              </c:numRef>
            </c:minus>
          </c:errBars>
          <c:cat>
            <c:strRef>
              <c:f>'T=24'!$M$3:$M$5</c:f>
              <c:strCache>
                <c:ptCount val="3"/>
                <c:pt idx="0">
                  <c:v>LVS</c:v>
                </c:pt>
                <c:pt idx="1">
                  <c:v>dptA(-)</c:v>
                </c:pt>
                <c:pt idx="2">
                  <c:v>dptA(-)Tn7:dptA</c:v>
                </c:pt>
              </c:strCache>
            </c:strRef>
          </c:cat>
          <c:val>
            <c:numRef>
              <c:f>'T=24'!$N$3:$N$5</c:f>
              <c:numCache>
                <c:formatCode>0.00E+00</c:formatCode>
                <c:ptCount val="3"/>
                <c:pt idx="0">
                  <c:v>30666.666666666668</c:v>
                </c:pt>
                <c:pt idx="1">
                  <c:v>6.666666666666667</c:v>
                </c:pt>
                <c:pt idx="2">
                  <c:v>46333.333333333336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4B-4942-B6DE-EF439A5DD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94037064"/>
        <c:axId val="1793997192"/>
      </c:barChart>
      <c:catAx>
        <c:axId val="17940370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93997192"/>
        <c:crosses val="autoZero"/>
        <c:auto val="1"/>
        <c:lblAlgn val="ctr"/>
        <c:lblOffset val="100"/>
        <c:noMultiLvlLbl val="0"/>
      </c:catAx>
      <c:valAx>
        <c:axId val="1793997192"/>
        <c:scaling>
          <c:logBase val="10"/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800"/>
                </a:pPr>
                <a:r>
                  <a:rPr lang="en-US" sz="1800"/>
                  <a:t>CFU per well</a:t>
                </a:r>
              </a:p>
            </c:rich>
          </c:tx>
          <c:layout>
            <c:manualLayout>
              <c:xMode val="edge"/>
              <c:yMode val="edge"/>
              <c:x val="5.0508696554918504E-3"/>
              <c:y val="0.20376786235053901"/>
            </c:manualLayout>
          </c:layout>
          <c:overlay val="0"/>
        </c:title>
        <c:numFmt formatCode="0.E+00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17940370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75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errBars>
            <c:errBarType val="plus"/>
            <c:errValType val="cust"/>
            <c:noEndCap val="0"/>
            <c:plus>
              <c:numRef>
                <c:f>'T=24'!$AD$3:$AD$5</c:f>
                <c:numCache>
                  <c:formatCode>General</c:formatCode>
                  <c:ptCount val="3"/>
                  <c:pt idx="0">
                    <c:v>934.00708309440301</c:v>
                  </c:pt>
                  <c:pt idx="1">
                    <c:v>1.4829283195347152</c:v>
                  </c:pt>
                  <c:pt idx="2">
                    <c:v>512.35095471035993</c:v>
                  </c:pt>
                </c:numCache>
              </c:numRef>
            </c:plus>
            <c:minus>
              <c:numRef>
                <c:f>'T=24'!$AD$3:$AD$5</c:f>
                <c:numCache>
                  <c:formatCode>General</c:formatCode>
                  <c:ptCount val="3"/>
                  <c:pt idx="0">
                    <c:v>934.00708309440301</c:v>
                  </c:pt>
                  <c:pt idx="1">
                    <c:v>1.4829283195347152</c:v>
                  </c:pt>
                  <c:pt idx="2">
                    <c:v>512.35095471035993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'T=24'!$AB$3:$AB$5</c:f>
              <c:strCache>
                <c:ptCount val="3"/>
                <c:pt idx="0">
                  <c:v>LVS</c:v>
                </c:pt>
                <c:pt idx="1">
                  <c:v>dptA(-)</c:v>
                </c:pt>
                <c:pt idx="2">
                  <c:v>dptA(-)Tn7:dptA</c:v>
                </c:pt>
              </c:strCache>
            </c:strRef>
          </c:cat>
          <c:val>
            <c:numRef>
              <c:f>'T=24'!$AC$3:$AC$5</c:f>
              <c:numCache>
                <c:formatCode>0.00E+00</c:formatCode>
                <c:ptCount val="3"/>
                <c:pt idx="0">
                  <c:v>1483.8709677419354</c:v>
                </c:pt>
                <c:pt idx="1">
                  <c:v>0.58823529411764708</c:v>
                </c:pt>
                <c:pt idx="2">
                  <c:v>1985.714285714286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5B-E74F-AF7C-CF9DB77A18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47606031"/>
        <c:axId val="747339007"/>
      </c:barChart>
      <c:catAx>
        <c:axId val="747606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47339007"/>
        <c:crossesAt val="0.1"/>
        <c:auto val="1"/>
        <c:lblAlgn val="ctr"/>
        <c:lblOffset val="100"/>
        <c:noMultiLvlLbl val="0"/>
      </c:catAx>
      <c:valAx>
        <c:axId val="747339007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 sz="1400" b="1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Bacterial Growth</a:t>
                </a:r>
              </a:p>
              <a:p>
                <a:pPr>
                  <a:defRPr sz="1400" b="1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US" sz="1400" b="1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(fold change)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476060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42468172786812"/>
          <c:y val="4.4444444444444398E-2"/>
          <c:w val="0.79148046213849432"/>
          <c:h val="0.78137398522859058"/>
        </c:manualLayout>
      </c:layout>
      <c:barChart>
        <c:barDir val="col"/>
        <c:grouping val="clustered"/>
        <c:varyColors val="0"/>
        <c:ser>
          <c:idx val="0"/>
          <c:order val="0"/>
          <c:tx>
            <c:v>T=2</c:v>
          </c:tx>
          <c:spPr>
            <a:ln>
              <a:solidFill>
                <a:schemeClr val="tx1"/>
              </a:solidFill>
            </a:ln>
          </c:spPr>
          <c:invertIfNegative val="0"/>
          <c:errBars>
            <c:errBarType val="plus"/>
            <c:errValType val="cust"/>
            <c:noEndCap val="0"/>
            <c:plus>
              <c:numRef>
                <c:f>'T=24'!$W$3:$W$5</c:f>
                <c:numCache>
                  <c:formatCode>General</c:formatCode>
                  <c:ptCount val="3"/>
                  <c:pt idx="0">
                    <c:v>11.372481406154655</c:v>
                  </c:pt>
                  <c:pt idx="1">
                    <c:v>10.066445913694334</c:v>
                  </c:pt>
                  <c:pt idx="2">
                    <c:v>9.0184995056457904</c:v>
                  </c:pt>
                </c:numCache>
              </c:numRef>
            </c:plus>
            <c:minus>
              <c:numRef>
                <c:f>'T=24'!$W$3:$W$5</c:f>
                <c:numCache>
                  <c:formatCode>General</c:formatCode>
                  <c:ptCount val="3"/>
                  <c:pt idx="0">
                    <c:v>11.372481406154655</c:v>
                  </c:pt>
                  <c:pt idx="1">
                    <c:v>10.066445913694334</c:v>
                  </c:pt>
                  <c:pt idx="2">
                    <c:v>9.0184995056457904</c:v>
                  </c:pt>
                </c:numCache>
              </c:numRef>
            </c:minus>
          </c:errBars>
          <c:cat>
            <c:strRef>
              <c:f>'T=24'!$M$3:$M$5</c:f>
              <c:strCache>
                <c:ptCount val="3"/>
                <c:pt idx="0">
                  <c:v>LVS</c:v>
                </c:pt>
                <c:pt idx="1">
                  <c:v>dptA(-)</c:v>
                </c:pt>
                <c:pt idx="2">
                  <c:v>dptA(-)Tn7:dptA</c:v>
                </c:pt>
              </c:strCache>
            </c:strRef>
          </c:cat>
          <c:val>
            <c:numRef>
              <c:f>'T=24'!$V$3:$V$5</c:f>
              <c:numCache>
                <c:formatCode>0.00E+00</c:formatCode>
                <c:ptCount val="3"/>
                <c:pt idx="0">
                  <c:v>20.666666666666668</c:v>
                </c:pt>
                <c:pt idx="1">
                  <c:v>11.333333333333334</c:v>
                </c:pt>
                <c:pt idx="2">
                  <c:v>23.333333333333332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9B-7F4D-BC3F-2C3AF850E7AB}"/>
            </c:ext>
          </c:extLst>
        </c:ser>
        <c:ser>
          <c:idx val="1"/>
          <c:order val="1"/>
          <c:tx>
            <c:v>T=24</c:v>
          </c:tx>
          <c:spPr>
            <a:ln>
              <a:solidFill>
                <a:schemeClr val="tx1"/>
              </a:solidFill>
            </a:ln>
          </c:spPr>
          <c:invertIfNegative val="0"/>
          <c:errBars>
            <c:errBarType val="plus"/>
            <c:errValType val="cust"/>
            <c:noEndCap val="0"/>
            <c:plus>
              <c:numRef>
                <c:f>'T=24'!$O$3:$O$6</c:f>
                <c:numCache>
                  <c:formatCode>General</c:formatCode>
                  <c:ptCount val="4"/>
                  <c:pt idx="0">
                    <c:v>10016.65280087781</c:v>
                  </c:pt>
                  <c:pt idx="1">
                    <c:v>11.547005383792515</c:v>
                  </c:pt>
                  <c:pt idx="2">
                    <c:v>5033.2229568471666</c:v>
                  </c:pt>
                </c:numCache>
              </c:numRef>
            </c:plus>
            <c:minus>
              <c:numRef>
                <c:f>'T=24'!$O$3:$O$6</c:f>
                <c:numCache>
                  <c:formatCode>General</c:formatCode>
                  <c:ptCount val="4"/>
                  <c:pt idx="0">
                    <c:v>10016.65280087781</c:v>
                  </c:pt>
                  <c:pt idx="1">
                    <c:v>11.547005383792515</c:v>
                  </c:pt>
                  <c:pt idx="2">
                    <c:v>5033.2229568471666</c:v>
                  </c:pt>
                </c:numCache>
              </c:numRef>
            </c:minus>
          </c:errBars>
          <c:cat>
            <c:strRef>
              <c:f>'T=24'!$M$3:$M$5</c:f>
              <c:strCache>
                <c:ptCount val="3"/>
                <c:pt idx="0">
                  <c:v>LVS</c:v>
                </c:pt>
                <c:pt idx="1">
                  <c:v>dptA(-)</c:v>
                </c:pt>
                <c:pt idx="2">
                  <c:v>dptA(-)Tn7:dptA</c:v>
                </c:pt>
              </c:strCache>
            </c:strRef>
          </c:cat>
          <c:val>
            <c:numRef>
              <c:f>'T=24'!$N$3:$N$5</c:f>
              <c:numCache>
                <c:formatCode>0.00E+00</c:formatCode>
                <c:ptCount val="3"/>
                <c:pt idx="0">
                  <c:v>30666.666666666668</c:v>
                </c:pt>
                <c:pt idx="1">
                  <c:v>6.666666666666667</c:v>
                </c:pt>
                <c:pt idx="2">
                  <c:v>46333.333333333336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9B-7F4D-BC3F-2C3AF850E7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94037064"/>
        <c:axId val="1793997192"/>
      </c:barChart>
      <c:catAx>
        <c:axId val="17940370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6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793997192"/>
        <c:crosses val="autoZero"/>
        <c:auto val="1"/>
        <c:lblAlgn val="ctr"/>
        <c:lblOffset val="100"/>
        <c:noMultiLvlLbl val="0"/>
      </c:catAx>
      <c:valAx>
        <c:axId val="1793997192"/>
        <c:scaling>
          <c:logBase val="10"/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8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US" sz="1800">
                    <a:solidFill>
                      <a:schemeClr val="tx1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CFU per well</a:t>
                </a:r>
              </a:p>
            </c:rich>
          </c:tx>
          <c:layout>
            <c:manualLayout>
              <c:xMode val="edge"/>
              <c:yMode val="edge"/>
              <c:x val="5.0508696554918504E-3"/>
              <c:y val="0.20376786235053901"/>
            </c:manualLayout>
          </c:layout>
          <c:overlay val="0"/>
        </c:title>
        <c:numFmt formatCode="0.E+0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120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7940370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46793394048635489"/>
          <c:y val="4.2635658914728682E-2"/>
          <c:w val="0.2046943680232742"/>
          <c:h val="8.3250320454129279E-2"/>
        </c:manualLayout>
      </c:layout>
      <c:overlay val="0"/>
      <c:txPr>
        <a:bodyPr/>
        <a:lstStyle/>
        <a:p>
          <a:pPr>
            <a:defRPr sz="14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image" Target="../media/image2.tiff"/><Relationship Id="rId5" Type="http://schemas.openxmlformats.org/officeDocument/2006/relationships/image" Target="../media/image1.tiff"/><Relationship Id="rId4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158750</xdr:colOff>
      <xdr:row>12</xdr:row>
      <xdr:rowOff>25400</xdr:rowOff>
    </xdr:from>
    <xdr:to>
      <xdr:col>10</xdr:col>
      <xdr:colOff>527050</xdr:colOff>
      <xdr:row>27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38100</xdr:colOff>
      <xdr:row>8</xdr:row>
      <xdr:rowOff>165100</xdr:rowOff>
    </xdr:from>
    <xdr:to>
      <xdr:col>17</xdr:col>
      <xdr:colOff>482600</xdr:colOff>
      <xdr:row>26</xdr:row>
      <xdr:rowOff>190500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15</xdr:row>
      <xdr:rowOff>88900</xdr:rowOff>
    </xdr:from>
    <xdr:to>
      <xdr:col>10</xdr:col>
      <xdr:colOff>508000</xdr:colOff>
      <xdr:row>31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114300</xdr:colOff>
      <xdr:row>15</xdr:row>
      <xdr:rowOff>114300</xdr:rowOff>
    </xdr:from>
    <xdr:to>
      <xdr:col>20</xdr:col>
      <xdr:colOff>177800</xdr:colOff>
      <xdr:row>31</xdr:row>
      <xdr:rowOff>139700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BA77628-F77E-8245-A2EB-7C10B1448F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336550</xdr:colOff>
      <xdr:row>12</xdr:row>
      <xdr:rowOff>76200</xdr:rowOff>
    </xdr:from>
    <xdr:to>
      <xdr:col>30</xdr:col>
      <xdr:colOff>190500</xdr:colOff>
      <xdr:row>25</xdr:row>
      <xdr:rowOff>177800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F7645D5-E9E0-5641-AAFA-E1D724ECFD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355600</xdr:colOff>
      <xdr:row>27</xdr:row>
      <xdr:rowOff>0</xdr:rowOff>
    </xdr:from>
    <xdr:to>
      <xdr:col>31</xdr:col>
      <xdr:colOff>584200</xdr:colOff>
      <xdr:row>43</xdr:row>
      <xdr:rowOff>25400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3D25E50-B672-0446-9117-3B001DEE48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33</xdr:col>
      <xdr:colOff>0</xdr:colOff>
      <xdr:row>31</xdr:row>
      <xdr:rowOff>0</xdr:rowOff>
    </xdr:from>
    <xdr:to>
      <xdr:col>40</xdr:col>
      <xdr:colOff>558800</xdr:colOff>
      <xdr:row>47</xdr:row>
      <xdr:rowOff>38100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7B8327F-363C-5346-9A1A-D2FE7AE47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206200" y="6743700"/>
          <a:ext cx="6337300" cy="3289300"/>
        </a:xfrm>
        <a:prstGeom prst="rect">
          <a:avLst/>
        </a:prstGeom>
      </xdr:spPr>
    </xdr:pic>
    <xdr:clientData/>
  </xdr:twoCellAnchor>
  <xdr:twoCellAnchor editAs="oneCell">
    <xdr:from>
      <xdr:col>32</xdr:col>
      <xdr:colOff>0</xdr:colOff>
      <xdr:row>13</xdr:row>
      <xdr:rowOff>0</xdr:rowOff>
    </xdr:from>
    <xdr:to>
      <xdr:col>38</xdr:col>
      <xdr:colOff>177800</xdr:colOff>
      <xdr:row>26</xdr:row>
      <xdr:rowOff>114300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FC03065-EFEE-A741-ABED-B198F0693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3380700" y="3086100"/>
          <a:ext cx="5130800" cy="2755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E35"/>
  <sheetViews>
    <sheetView tabSelected="1" showRuler="0" topLeftCell="Q19" zoomScale="125" zoomScaleNormal="125" zoomScalePageLayoutView="125" workbookViewId="0">
      <selection activeCell="AE35" sqref="AE35"/>
    </sheetView>
  </sheetViews>
  <sheetFormatPr baseColWidth="10" defaultRowHeight="16" x14ac:dyDescent="0.2"/>
  <cols>
    <col min="1" max="1" width="2.6640625" bestFit="1" customWidth="1"/>
    <col min="2" max="4" width="15.33203125" bestFit="1" customWidth="1"/>
    <col min="5" max="5" width="4.33203125" customWidth="1"/>
    <col min="6" max="8" width="7.6640625" bestFit="1" customWidth="1"/>
    <col min="9" max="9" width="2.1640625" bestFit="1" customWidth="1"/>
    <col min="10" max="10" width="8.5" bestFit="1" customWidth="1"/>
    <col min="11" max="13" width="4.33203125" customWidth="1"/>
    <col min="14" max="14" width="3.5" customWidth="1"/>
    <col min="15" max="15" width="29.6640625" bestFit="1" customWidth="1"/>
    <col min="16" max="16" width="8.83203125" bestFit="1" customWidth="1"/>
    <col min="17" max="17" width="5" customWidth="1"/>
    <col min="18" max="18" width="15.33203125" bestFit="1" customWidth="1"/>
    <col min="20" max="23" width="2.83203125" customWidth="1"/>
    <col min="25" max="25" width="16.1640625" customWidth="1"/>
    <col min="27" max="27" width="8" bestFit="1" customWidth="1"/>
    <col min="28" max="28" width="8.83203125" customWidth="1"/>
    <col min="29" max="29" width="6.6640625" bestFit="1" customWidth="1"/>
    <col min="30" max="30" width="10.6640625" customWidth="1"/>
  </cols>
  <sheetData>
    <row r="1" spans="1:23" ht="17" thickBot="1" x14ac:dyDescent="0.25">
      <c r="A1" s="1" t="s">
        <v>0</v>
      </c>
      <c r="B1" s="2">
        <v>1</v>
      </c>
      <c r="C1" s="2">
        <v>2</v>
      </c>
      <c r="D1" s="2">
        <v>3</v>
      </c>
      <c r="E1" s="2">
        <v>4</v>
      </c>
      <c r="F1" s="2">
        <v>5</v>
      </c>
      <c r="G1" s="2">
        <v>6</v>
      </c>
      <c r="H1" s="2">
        <v>7</v>
      </c>
      <c r="I1" s="2">
        <v>8</v>
      </c>
      <c r="J1" s="2">
        <v>9</v>
      </c>
      <c r="K1" s="2">
        <v>10</v>
      </c>
      <c r="L1" s="2">
        <v>11</v>
      </c>
      <c r="M1" s="2">
        <v>12</v>
      </c>
      <c r="O1" s="3" t="s">
        <v>1</v>
      </c>
      <c r="P1" s="3" t="s">
        <v>73</v>
      </c>
    </row>
    <row r="2" spans="1:23" ht="17" x14ac:dyDescent="0.2">
      <c r="A2" s="4" t="s">
        <v>2</v>
      </c>
      <c r="B2" s="9" t="s">
        <v>30</v>
      </c>
      <c r="C2" s="9" t="s">
        <v>30</v>
      </c>
      <c r="D2" s="9" t="s">
        <v>30</v>
      </c>
      <c r="E2" s="6"/>
      <c r="F2" s="63" t="s">
        <v>108</v>
      </c>
      <c r="G2" s="63" t="s">
        <v>108</v>
      </c>
      <c r="H2" s="63" t="s">
        <v>108</v>
      </c>
      <c r="I2" s="5"/>
      <c r="J2" s="6" t="s">
        <v>69</v>
      </c>
      <c r="K2" s="6"/>
      <c r="L2" s="6"/>
      <c r="M2" s="6"/>
      <c r="O2" s="1" t="s">
        <v>4</v>
      </c>
      <c r="P2" s="7">
        <v>20000</v>
      </c>
      <c r="R2">
        <f>AVERAGE(24, 26, 34, 22, 25, 29, 25, 24)</f>
        <v>26.125</v>
      </c>
      <c r="S2" s="37" t="s">
        <v>93</v>
      </c>
      <c r="T2" s="67" t="s">
        <v>94</v>
      </c>
      <c r="U2" s="67"/>
      <c r="V2" s="67"/>
      <c r="W2" s="67"/>
    </row>
    <row r="3" spans="1:23" x14ac:dyDescent="0.2">
      <c r="A3" s="4" t="s">
        <v>5</v>
      </c>
      <c r="B3" s="8"/>
      <c r="C3" s="1"/>
      <c r="D3" s="9"/>
      <c r="E3" s="9"/>
      <c r="F3" s="9"/>
      <c r="G3" s="9"/>
      <c r="H3" s="9"/>
      <c r="I3" s="9"/>
      <c r="J3" s="9"/>
      <c r="K3" s="9"/>
      <c r="L3" s="10"/>
      <c r="M3" s="1"/>
      <c r="O3" s="11" t="s">
        <v>6</v>
      </c>
      <c r="P3" s="11">
        <v>0.2</v>
      </c>
      <c r="R3">
        <f>R2*2</f>
        <v>52.25</v>
      </c>
      <c r="S3" s="37">
        <v>1</v>
      </c>
      <c r="T3" s="1">
        <v>4</v>
      </c>
      <c r="U3" s="1">
        <v>1</v>
      </c>
      <c r="V3" s="1">
        <v>2</v>
      </c>
      <c r="W3" s="1">
        <v>3</v>
      </c>
    </row>
    <row r="4" spans="1:23" x14ac:dyDescent="0.2">
      <c r="A4" s="4" t="s">
        <v>7</v>
      </c>
      <c r="B4" s="6"/>
      <c r="C4" s="6"/>
      <c r="D4" s="6"/>
      <c r="E4" s="9"/>
      <c r="F4" s="6"/>
      <c r="G4" s="6"/>
      <c r="H4" s="6"/>
      <c r="I4" s="9"/>
      <c r="J4" s="6"/>
      <c r="K4" s="6"/>
      <c r="L4" s="6"/>
      <c r="M4" s="1"/>
      <c r="O4" s="1" t="s">
        <v>8</v>
      </c>
      <c r="P4" s="7">
        <f>P2/P3</f>
        <v>100000</v>
      </c>
      <c r="S4" s="37">
        <v>2</v>
      </c>
      <c r="T4" s="1">
        <v>3</v>
      </c>
      <c r="U4" s="1">
        <v>4</v>
      </c>
      <c r="V4" s="1">
        <v>0</v>
      </c>
      <c r="W4" s="1">
        <v>2</v>
      </c>
    </row>
    <row r="5" spans="1:23" ht="17" x14ac:dyDescent="0.2">
      <c r="A5" s="4" t="s">
        <v>9</v>
      </c>
      <c r="B5" s="63" t="s">
        <v>107</v>
      </c>
      <c r="C5" s="63" t="s">
        <v>107</v>
      </c>
      <c r="D5" s="63" t="s">
        <v>107</v>
      </c>
      <c r="E5" s="9"/>
      <c r="F5" s="6" t="s">
        <v>91</v>
      </c>
      <c r="G5" s="6" t="s">
        <v>91</v>
      </c>
      <c r="H5" s="6" t="s">
        <v>91</v>
      </c>
      <c r="I5" s="9"/>
      <c r="J5" s="6" t="s">
        <v>3</v>
      </c>
      <c r="K5" s="6"/>
      <c r="M5" s="1"/>
      <c r="O5" s="1" t="s">
        <v>10</v>
      </c>
      <c r="P5" s="13">
        <v>7</v>
      </c>
      <c r="S5" s="37">
        <v>3</v>
      </c>
      <c r="T5" s="1">
        <v>4</v>
      </c>
      <c r="U5" s="1">
        <v>1</v>
      </c>
      <c r="V5" s="1">
        <v>3</v>
      </c>
      <c r="W5" s="1">
        <v>8</v>
      </c>
    </row>
    <row r="6" spans="1:23" x14ac:dyDescent="0.2">
      <c r="A6" s="4" t="s">
        <v>11</v>
      </c>
      <c r="B6" s="14"/>
      <c r="C6" s="12"/>
      <c r="D6" s="15"/>
      <c r="E6" s="10"/>
      <c r="F6" s="16"/>
      <c r="G6" s="16"/>
      <c r="H6" s="16"/>
      <c r="I6" s="10"/>
      <c r="J6" s="10"/>
      <c r="K6" s="10"/>
      <c r="L6" s="10"/>
      <c r="M6" s="1"/>
      <c r="O6" s="1" t="s">
        <v>12</v>
      </c>
      <c r="P6" s="7" t="s">
        <v>40</v>
      </c>
      <c r="S6" s="37">
        <v>4</v>
      </c>
      <c r="T6" s="1">
        <v>2</v>
      </c>
      <c r="U6" s="1">
        <v>3</v>
      </c>
      <c r="V6" s="1">
        <v>8</v>
      </c>
      <c r="W6" s="1">
        <v>1</v>
      </c>
    </row>
    <row r="7" spans="1:23" x14ac:dyDescent="0.2">
      <c r="A7" s="4" t="s">
        <v>13</v>
      </c>
      <c r="B7" s="8"/>
      <c r="C7" s="10"/>
      <c r="D7" s="9"/>
      <c r="E7" s="10"/>
      <c r="F7" s="1"/>
      <c r="G7" s="17"/>
      <c r="H7" s="18"/>
      <c r="I7" s="17"/>
      <c r="J7" s="17"/>
      <c r="K7" s="17"/>
      <c r="L7" s="10"/>
      <c r="M7" s="1"/>
      <c r="O7" s="1" t="s">
        <v>14</v>
      </c>
      <c r="P7" s="39" t="s">
        <v>40</v>
      </c>
      <c r="Q7" s="21"/>
      <c r="S7" s="37">
        <v>5</v>
      </c>
      <c r="T7" s="1">
        <v>8</v>
      </c>
      <c r="U7" s="1">
        <v>0</v>
      </c>
      <c r="V7" s="1">
        <v>6</v>
      </c>
      <c r="W7" s="1">
        <v>10</v>
      </c>
    </row>
    <row r="8" spans="1:23" x14ac:dyDescent="0.2">
      <c r="A8" s="4" t="s">
        <v>15</v>
      </c>
      <c r="B8" s="14"/>
      <c r="C8" s="12"/>
      <c r="D8" s="15"/>
      <c r="E8" s="15"/>
      <c r="F8" s="15"/>
      <c r="G8" s="15"/>
      <c r="H8" s="16"/>
      <c r="I8" s="1"/>
      <c r="J8" s="16"/>
      <c r="K8" s="16"/>
      <c r="L8" s="16"/>
      <c r="M8" s="16"/>
      <c r="O8" s="20" t="s">
        <v>16</v>
      </c>
      <c r="P8" s="39" t="s">
        <v>40</v>
      </c>
      <c r="S8" s="37">
        <v>6</v>
      </c>
      <c r="T8" s="1">
        <v>3</v>
      </c>
      <c r="U8" s="1">
        <v>7</v>
      </c>
      <c r="V8" s="1">
        <v>6</v>
      </c>
      <c r="W8" s="1">
        <v>3</v>
      </c>
    </row>
    <row r="9" spans="1:23" x14ac:dyDescent="0.2">
      <c r="A9" s="4" t="s">
        <v>17</v>
      </c>
      <c r="B9" s="14"/>
      <c r="C9" s="12"/>
      <c r="D9" s="15"/>
      <c r="E9" s="1"/>
      <c r="F9" s="1"/>
      <c r="G9" s="1"/>
      <c r="H9" s="7"/>
      <c r="I9" s="1"/>
      <c r="J9" s="1"/>
      <c r="K9" s="1"/>
      <c r="L9" s="1"/>
      <c r="M9" s="1"/>
      <c r="O9" s="20" t="s">
        <v>18</v>
      </c>
      <c r="P9" s="7">
        <f>T10</f>
        <v>76666.666666666672</v>
      </c>
      <c r="S9" s="1" t="s">
        <v>95</v>
      </c>
      <c r="T9" s="69">
        <f>AVERAGE(T3:W8)</f>
        <v>3.8333333333333335</v>
      </c>
      <c r="U9" s="69"/>
      <c r="V9" s="69"/>
      <c r="W9" s="69"/>
    </row>
    <row r="10" spans="1:23" x14ac:dyDescent="0.2">
      <c r="H10" s="21"/>
      <c r="O10" s="20" t="s">
        <v>19</v>
      </c>
      <c r="P10" s="7">
        <f>P9*0.2</f>
        <v>15333.333333333336</v>
      </c>
      <c r="S10" s="1" t="s">
        <v>96</v>
      </c>
      <c r="T10" s="68">
        <f>T9*2*10000</f>
        <v>76666.666666666672</v>
      </c>
      <c r="U10" s="68"/>
      <c r="V10" s="68"/>
      <c r="W10" s="68"/>
    </row>
    <row r="15" spans="1:23" x14ac:dyDescent="0.2">
      <c r="B15" s="22"/>
      <c r="C15" s="23"/>
      <c r="P15" t="s">
        <v>21</v>
      </c>
    </row>
    <row r="16" spans="1:23" ht="17" thickBot="1" x14ac:dyDescent="0.25">
      <c r="A16" s="1" t="s">
        <v>0</v>
      </c>
      <c r="B16" s="2">
        <v>1</v>
      </c>
      <c r="C16" s="2">
        <v>2</v>
      </c>
      <c r="D16" s="2">
        <v>3</v>
      </c>
      <c r="E16" s="2">
        <v>4</v>
      </c>
      <c r="F16" s="2">
        <v>5</v>
      </c>
      <c r="G16" s="2">
        <v>6</v>
      </c>
      <c r="H16" s="2">
        <v>7</v>
      </c>
      <c r="I16" s="2">
        <v>8</v>
      </c>
      <c r="J16" s="2">
        <v>9</v>
      </c>
      <c r="K16" s="2">
        <v>10</v>
      </c>
      <c r="L16" s="2">
        <v>11</v>
      </c>
      <c r="M16" s="2">
        <v>12</v>
      </c>
      <c r="O16" s="3" t="s">
        <v>20</v>
      </c>
      <c r="P16" s="3" t="s">
        <v>73</v>
      </c>
    </row>
    <row r="17" spans="1:31" ht="17" x14ac:dyDescent="0.2">
      <c r="A17" s="4" t="s">
        <v>2</v>
      </c>
      <c r="B17" s="9" t="s">
        <v>30</v>
      </c>
      <c r="C17" s="9" t="s">
        <v>30</v>
      </c>
      <c r="D17" s="9" t="s">
        <v>30</v>
      </c>
      <c r="E17" s="6"/>
      <c r="F17" s="63" t="s">
        <v>108</v>
      </c>
      <c r="G17" s="63" t="s">
        <v>108</v>
      </c>
      <c r="H17" s="63" t="s">
        <v>108</v>
      </c>
      <c r="I17" s="5"/>
      <c r="J17" s="6" t="s">
        <v>69</v>
      </c>
      <c r="K17" s="6"/>
      <c r="L17" s="6"/>
      <c r="M17" s="6"/>
      <c r="O17" s="1" t="s">
        <v>22</v>
      </c>
      <c r="P17" s="25">
        <v>5</v>
      </c>
    </row>
    <row r="18" spans="1:31" x14ac:dyDescent="0.2">
      <c r="A18" s="4" t="s">
        <v>5</v>
      </c>
      <c r="B18" s="8"/>
      <c r="C18" s="1"/>
      <c r="D18" s="9"/>
      <c r="E18" s="9"/>
      <c r="F18" s="9"/>
      <c r="G18" s="9"/>
      <c r="H18" s="9"/>
      <c r="I18" s="9"/>
      <c r="J18" s="9"/>
      <c r="K18" s="9"/>
      <c r="L18" s="10"/>
      <c r="M18" s="1"/>
      <c r="O18" s="1" t="s">
        <v>23</v>
      </c>
      <c r="P18" s="26">
        <f>P10</f>
        <v>15333.333333333336</v>
      </c>
    </row>
    <row r="19" spans="1:31" x14ac:dyDescent="0.2">
      <c r="A19" s="4" t="s">
        <v>7</v>
      </c>
      <c r="B19" s="6"/>
      <c r="C19" s="6"/>
      <c r="D19" s="6"/>
      <c r="E19" s="9"/>
      <c r="F19" s="6"/>
      <c r="G19" s="6"/>
      <c r="H19" s="6"/>
      <c r="I19" s="9"/>
      <c r="J19" s="6"/>
      <c r="K19" s="6"/>
      <c r="L19" s="6"/>
      <c r="M19" s="1"/>
      <c r="O19" s="1" t="s">
        <v>24</v>
      </c>
      <c r="P19" s="25">
        <v>0.05</v>
      </c>
    </row>
    <row r="20" spans="1:31" ht="16" customHeight="1" x14ac:dyDescent="0.2">
      <c r="A20" s="4" t="s">
        <v>9</v>
      </c>
      <c r="B20" s="63" t="s">
        <v>107</v>
      </c>
      <c r="C20" s="63" t="s">
        <v>107</v>
      </c>
      <c r="D20" s="63" t="s">
        <v>107</v>
      </c>
      <c r="E20" s="9"/>
      <c r="F20" s="6" t="s">
        <v>114</v>
      </c>
      <c r="G20" s="6" t="s">
        <v>114</v>
      </c>
      <c r="H20" s="6" t="s">
        <v>114</v>
      </c>
      <c r="I20" s="9"/>
      <c r="J20" s="6" t="s">
        <v>3</v>
      </c>
      <c r="K20" s="6"/>
      <c r="M20" s="1"/>
      <c r="O20" s="27" t="s">
        <v>25</v>
      </c>
      <c r="P20" s="26">
        <f>(P18*P17/P19)</f>
        <v>1533333.3333333337</v>
      </c>
    </row>
    <row r="21" spans="1:31" x14ac:dyDescent="0.2">
      <c r="A21" s="4" t="s">
        <v>11</v>
      </c>
      <c r="B21" s="14"/>
      <c r="C21" s="12"/>
      <c r="D21" s="15"/>
      <c r="E21" s="10"/>
      <c r="F21" s="16"/>
      <c r="G21" s="16"/>
      <c r="H21" s="16"/>
      <c r="I21" s="10"/>
      <c r="J21" s="10"/>
      <c r="K21" s="10"/>
      <c r="L21" s="10"/>
      <c r="M21" s="1"/>
      <c r="O21" s="1" t="s">
        <v>26</v>
      </c>
      <c r="P21" s="26">
        <v>5810000000</v>
      </c>
    </row>
    <row r="22" spans="1:31" x14ac:dyDescent="0.2">
      <c r="A22" s="4" t="s">
        <v>13</v>
      </c>
      <c r="B22" s="8"/>
      <c r="C22" s="10"/>
      <c r="D22" s="9"/>
      <c r="E22" s="10"/>
      <c r="F22" s="1"/>
      <c r="G22" s="55"/>
      <c r="H22" s="18"/>
      <c r="I22" s="55"/>
      <c r="J22" s="55"/>
      <c r="K22" s="55"/>
      <c r="L22" s="10"/>
      <c r="M22" s="1"/>
      <c r="O22" s="1" t="s">
        <v>27</v>
      </c>
      <c r="P22" s="28">
        <f>P20/P21</f>
        <v>2.6391279403327602E-4</v>
      </c>
    </row>
    <row r="23" spans="1:31" x14ac:dyDescent="0.2">
      <c r="A23" s="4" t="s">
        <v>15</v>
      </c>
      <c r="B23" s="14"/>
      <c r="C23" s="12"/>
      <c r="D23" s="15"/>
      <c r="E23" s="15"/>
      <c r="F23" s="15"/>
      <c r="G23" s="15"/>
      <c r="H23" s="16"/>
      <c r="I23" s="1"/>
      <c r="J23" s="16"/>
      <c r="K23" s="16"/>
      <c r="L23" s="16"/>
      <c r="M23" s="16"/>
      <c r="O23" s="1" t="s">
        <v>28</v>
      </c>
      <c r="P23" s="29">
        <v>2.8000000000000001E-2</v>
      </c>
    </row>
    <row r="24" spans="1:31" x14ac:dyDescent="0.2">
      <c r="A24" s="4" t="s">
        <v>17</v>
      </c>
      <c r="B24" s="14"/>
      <c r="C24" s="12"/>
      <c r="D24" s="15"/>
      <c r="E24" s="1"/>
      <c r="F24" s="1"/>
      <c r="G24" s="1"/>
      <c r="H24" s="7"/>
      <c r="I24" s="1"/>
      <c r="J24" s="1"/>
      <c r="K24" s="1"/>
      <c r="L24" s="1"/>
      <c r="M24" s="1"/>
      <c r="O24" s="20" t="s">
        <v>29</v>
      </c>
      <c r="P24" s="1">
        <f>P23/100</f>
        <v>2.8000000000000003E-4</v>
      </c>
    </row>
    <row r="25" spans="1:31" x14ac:dyDescent="0.2">
      <c r="B25" s="22"/>
      <c r="C25" s="23"/>
      <c r="P25" s="30"/>
    </row>
    <row r="26" spans="1:31" ht="17" x14ac:dyDescent="0.2">
      <c r="C26" s="17">
        <v>1</v>
      </c>
      <c r="D26" s="9" t="s">
        <v>30</v>
      </c>
    </row>
    <row r="27" spans="1:31" ht="17" x14ac:dyDescent="0.2">
      <c r="C27" s="17">
        <v>2</v>
      </c>
      <c r="D27" s="63" t="s">
        <v>108</v>
      </c>
    </row>
    <row r="28" spans="1:31" ht="17" x14ac:dyDescent="0.2">
      <c r="C28" s="17">
        <v>3</v>
      </c>
      <c r="D28" s="63" t="s">
        <v>107</v>
      </c>
    </row>
    <row r="29" spans="1:31" ht="17" x14ac:dyDescent="0.2">
      <c r="C29" s="17">
        <v>4</v>
      </c>
      <c r="D29" s="6" t="s">
        <v>114</v>
      </c>
      <c r="Q29" s="21"/>
    </row>
    <row r="30" spans="1:31" ht="34" customHeight="1" x14ac:dyDescent="0.2">
      <c r="AA30" s="70" t="s">
        <v>104</v>
      </c>
      <c r="AB30" s="70"/>
      <c r="AD30" s="70" t="s">
        <v>100</v>
      </c>
      <c r="AE30" s="70"/>
    </row>
    <row r="31" spans="1:31" ht="51" x14ac:dyDescent="0.2">
      <c r="X31" s="55" t="s">
        <v>97</v>
      </c>
      <c r="Y31" s="55" t="s">
        <v>98</v>
      </c>
      <c r="Z31" s="16" t="s">
        <v>101</v>
      </c>
      <c r="AA31" s="16" t="s">
        <v>106</v>
      </c>
      <c r="AB31" s="16" t="s">
        <v>105</v>
      </c>
      <c r="AC31" s="16" t="s">
        <v>99</v>
      </c>
      <c r="AD31" s="16" t="s">
        <v>102</v>
      </c>
      <c r="AE31" s="16" t="s">
        <v>103</v>
      </c>
    </row>
    <row r="32" spans="1:31" ht="17" x14ac:dyDescent="0.2">
      <c r="X32" s="55">
        <v>1</v>
      </c>
      <c r="Y32" s="9" t="s">
        <v>30</v>
      </c>
      <c r="Z32" s="1">
        <v>2.0499999999999998</v>
      </c>
      <c r="AA32" s="1">
        <v>17.7</v>
      </c>
      <c r="AB32" s="1">
        <f>1300-AA32</f>
        <v>1282.3</v>
      </c>
      <c r="AC32" s="1">
        <v>0.03</v>
      </c>
      <c r="AD32" s="1">
        <v>9.3000000000000007</v>
      </c>
      <c r="AE32" s="1">
        <f>1000-AD32</f>
        <v>990.7</v>
      </c>
    </row>
    <row r="33" spans="24:31" ht="17" x14ac:dyDescent="0.2">
      <c r="X33" s="55">
        <v>2</v>
      </c>
      <c r="Y33" s="63" t="s">
        <v>108</v>
      </c>
      <c r="Z33" s="1">
        <v>1.61</v>
      </c>
      <c r="AA33" s="1">
        <v>22.6</v>
      </c>
      <c r="AB33" s="1">
        <f t="shared" ref="AB33:AB35" si="0">1300-AA33</f>
        <v>1277.4000000000001</v>
      </c>
      <c r="AC33" s="1">
        <v>3.4000000000000002E-2</v>
      </c>
      <c r="AD33" s="1">
        <v>8.1999999999999993</v>
      </c>
      <c r="AE33" s="1">
        <f t="shared" ref="AE33:AE35" si="1">1000-AD33</f>
        <v>991.8</v>
      </c>
    </row>
    <row r="34" spans="24:31" ht="17" x14ac:dyDescent="0.2">
      <c r="X34" s="55">
        <v>3</v>
      </c>
      <c r="Y34" s="63" t="s">
        <v>107</v>
      </c>
      <c r="Z34" s="1">
        <v>2.69</v>
      </c>
      <c r="AA34" s="1">
        <v>13.5</v>
      </c>
      <c r="AB34" s="1">
        <f t="shared" si="0"/>
        <v>1286.5</v>
      </c>
      <c r="AC34" s="1">
        <v>2.5999999999999999E-2</v>
      </c>
      <c r="AD34" s="1">
        <v>10.8</v>
      </c>
      <c r="AE34" s="1">
        <f t="shared" si="1"/>
        <v>989.2</v>
      </c>
    </row>
    <row r="35" spans="24:31" ht="17" x14ac:dyDescent="0.2">
      <c r="X35" s="55">
        <v>4</v>
      </c>
      <c r="Y35" s="6" t="s">
        <v>91</v>
      </c>
      <c r="Z35" s="1">
        <v>1.32</v>
      </c>
      <c r="AA35" s="1">
        <v>27.6</v>
      </c>
      <c r="AB35" s="1">
        <f t="shared" si="0"/>
        <v>1272.4000000000001</v>
      </c>
      <c r="AC35" s="1">
        <v>2.5999999999999999E-2</v>
      </c>
      <c r="AD35" s="1">
        <v>10.8</v>
      </c>
      <c r="AE35" s="1">
        <f t="shared" si="1"/>
        <v>989.2</v>
      </c>
    </row>
  </sheetData>
  <mergeCells count="5">
    <mergeCell ref="T2:W2"/>
    <mergeCell ref="T10:W10"/>
    <mergeCell ref="T9:W9"/>
    <mergeCell ref="AD30:AE30"/>
    <mergeCell ref="AA30:AB30"/>
  </mergeCells>
  <phoneticPr fontId="4" type="noConversion"/>
  <pageMargins left="0.75" right="0.75" top="1" bottom="1" header="0.5" footer="0.5"/>
  <pageSetup scale="41" orientation="landscape" horizontalDpi="4294967292" verticalDpi="4294967292"/>
  <extLst>
    <ext xmlns:mx="http://schemas.microsoft.com/office/mac/excel/2008/main" uri="{64002731-A6B0-56B0-2670-7721B7C09600}">
      <mx:PLV Mode="0" OnePage="0" WScale="8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E2C9E9-999A-2442-A720-1488DBC0945B}">
  <dimension ref="A1:D9"/>
  <sheetViews>
    <sheetView workbookViewId="0">
      <selection activeCell="B5" sqref="B5"/>
    </sheetView>
  </sheetViews>
  <sheetFormatPr baseColWidth="10" defaultRowHeight="16" x14ac:dyDescent="0.2"/>
  <cols>
    <col min="1" max="1" width="34.6640625" bestFit="1" customWidth="1"/>
    <col min="4" max="4" width="70.83203125" customWidth="1"/>
  </cols>
  <sheetData>
    <row r="1" spans="1:4" x14ac:dyDescent="0.2">
      <c r="B1" s="71" t="s">
        <v>75</v>
      </c>
      <c r="C1" s="71"/>
    </row>
    <row r="2" spans="1:4" x14ac:dyDescent="0.2">
      <c r="A2" s="31" t="s">
        <v>90</v>
      </c>
      <c r="B2" s="59" t="s">
        <v>77</v>
      </c>
      <c r="C2" s="59" t="s">
        <v>78</v>
      </c>
      <c r="D2" s="31" t="s">
        <v>81</v>
      </c>
    </row>
    <row r="3" spans="1:4" x14ac:dyDescent="0.2">
      <c r="A3" s="1" t="s">
        <v>76</v>
      </c>
      <c r="B3" s="25">
        <v>8</v>
      </c>
      <c r="C3" s="60"/>
      <c r="D3" s="1" t="s">
        <v>82</v>
      </c>
    </row>
    <row r="4" spans="1:4" x14ac:dyDescent="0.2">
      <c r="A4" s="1" t="s">
        <v>79</v>
      </c>
      <c r="B4" s="25">
        <v>0</v>
      </c>
      <c r="C4" s="60">
        <v>8</v>
      </c>
      <c r="D4" s="1" t="s">
        <v>83</v>
      </c>
    </row>
    <row r="5" spans="1:4" x14ac:dyDescent="0.2">
      <c r="A5" s="1" t="s">
        <v>80</v>
      </c>
      <c r="B5" s="25">
        <v>26</v>
      </c>
      <c r="C5" s="60"/>
      <c r="D5" s="1" t="s">
        <v>84</v>
      </c>
    </row>
    <row r="6" spans="1:4" ht="34" x14ac:dyDescent="0.2">
      <c r="A6" s="1" t="s">
        <v>85</v>
      </c>
      <c r="B6" s="25">
        <v>12</v>
      </c>
      <c r="C6" s="60">
        <v>12</v>
      </c>
      <c r="D6" s="27" t="s">
        <v>92</v>
      </c>
    </row>
    <row r="7" spans="1:4" x14ac:dyDescent="0.2">
      <c r="A7" s="31" t="s">
        <v>86</v>
      </c>
      <c r="B7" s="46">
        <f>SUM(B3:B6)</f>
        <v>46</v>
      </c>
      <c r="C7" s="62">
        <f>SUM(C3:C6)</f>
        <v>20</v>
      </c>
      <c r="D7" s="1"/>
    </row>
    <row r="8" spans="1:4" x14ac:dyDescent="0.2">
      <c r="A8" s="1" t="s">
        <v>87</v>
      </c>
      <c r="B8" s="25">
        <f>B7/25</f>
        <v>1.84</v>
      </c>
      <c r="C8" s="60">
        <f>C7/20</f>
        <v>1</v>
      </c>
      <c r="D8" s="1" t="s">
        <v>89</v>
      </c>
    </row>
    <row r="9" spans="1:4" x14ac:dyDescent="0.2">
      <c r="A9" s="31" t="s">
        <v>88</v>
      </c>
      <c r="B9" s="46">
        <f>SUM(B8:C8)</f>
        <v>2.84</v>
      </c>
      <c r="C9" s="61"/>
    </row>
  </sheetData>
  <mergeCells count="1">
    <mergeCell ref="B1:C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N17"/>
  <sheetViews>
    <sheetView showRuler="0" workbookViewId="0">
      <selection activeCell="M9" sqref="M9"/>
    </sheetView>
  </sheetViews>
  <sheetFormatPr baseColWidth="10" defaultRowHeight="16" x14ac:dyDescent="0.2"/>
  <cols>
    <col min="1" max="1" width="19.33203125" customWidth="1"/>
    <col min="2" max="2" width="9" bestFit="1" customWidth="1"/>
    <col min="3" max="3" width="8.6640625" customWidth="1"/>
    <col min="4" max="5" width="6" bestFit="1" customWidth="1"/>
    <col min="6" max="6" width="6.1640625" bestFit="1" customWidth="1"/>
    <col min="7" max="7" width="8.1640625" bestFit="1" customWidth="1"/>
    <col min="8" max="9" width="9.33203125" bestFit="1" customWidth="1"/>
    <col min="10" max="10" width="10.1640625" customWidth="1"/>
    <col min="11" max="12" width="8.83203125" bestFit="1" customWidth="1"/>
    <col min="13" max="13" width="27.5" customWidth="1"/>
    <col min="14" max="14" width="10.1640625" bestFit="1" customWidth="1"/>
  </cols>
  <sheetData>
    <row r="1" spans="1:14" x14ac:dyDescent="0.2">
      <c r="A1" s="31" t="s">
        <v>31</v>
      </c>
      <c r="B1" s="32"/>
      <c r="C1" s="75"/>
      <c r="D1" s="75"/>
      <c r="E1" s="75"/>
      <c r="F1" s="75"/>
      <c r="G1" s="22"/>
      <c r="H1" s="22"/>
      <c r="I1" s="22"/>
      <c r="J1" s="22"/>
      <c r="K1" s="22"/>
      <c r="L1" s="22"/>
      <c r="M1" s="22"/>
      <c r="N1" s="22"/>
    </row>
    <row r="2" spans="1:14" ht="51" x14ac:dyDescent="0.2">
      <c r="A2" s="31"/>
      <c r="B2" s="33" t="s">
        <v>32</v>
      </c>
      <c r="C2" s="31">
        <v>1</v>
      </c>
      <c r="D2" s="31">
        <v>2</v>
      </c>
      <c r="E2" s="34">
        <v>3</v>
      </c>
      <c r="F2" s="31">
        <v>4</v>
      </c>
      <c r="G2" s="35" t="s">
        <v>33</v>
      </c>
      <c r="H2" s="35" t="s">
        <v>34</v>
      </c>
      <c r="I2" s="35" t="s">
        <v>35</v>
      </c>
      <c r="J2" s="35" t="s">
        <v>36</v>
      </c>
      <c r="K2" s="35" t="s">
        <v>49</v>
      </c>
      <c r="L2" s="35" t="s">
        <v>36</v>
      </c>
      <c r="M2" s="36" t="s">
        <v>74</v>
      </c>
    </row>
    <row r="3" spans="1:14" x14ac:dyDescent="0.2">
      <c r="A3" s="74" t="s">
        <v>30</v>
      </c>
      <c r="B3" s="37" t="s">
        <v>38</v>
      </c>
      <c r="C3" s="25"/>
      <c r="D3" s="25"/>
      <c r="E3" s="25"/>
      <c r="F3" s="38">
        <v>31</v>
      </c>
      <c r="G3" s="25">
        <v>1E-3</v>
      </c>
      <c r="H3" s="26">
        <f>F3/(G3*0.01)</f>
        <v>3099999.9999999995</v>
      </c>
      <c r="I3" s="7">
        <f>AVERAGE(H3:H4)</f>
        <v>2850000</v>
      </c>
      <c r="J3" s="7">
        <f>STDEV(H3:H4)</f>
        <v>353553.39059327339</v>
      </c>
      <c r="K3" s="7">
        <f>I3*0.05</f>
        <v>142500</v>
      </c>
      <c r="L3" s="7">
        <f>J3*0.05</f>
        <v>17677.669529663672</v>
      </c>
      <c r="M3" s="39">
        <f>K3/15300</f>
        <v>9.3137254901960791</v>
      </c>
    </row>
    <row r="4" spans="1:14" x14ac:dyDescent="0.2">
      <c r="A4" s="74"/>
      <c r="B4" s="37" t="s">
        <v>41</v>
      </c>
      <c r="C4" s="25"/>
      <c r="D4" s="25"/>
      <c r="E4" s="25"/>
      <c r="F4" s="38">
        <v>26</v>
      </c>
      <c r="G4" s="25">
        <v>1E-3</v>
      </c>
      <c r="H4" s="26">
        <f t="shared" ref="H4:H10" si="0">F4/(G4*0.01)</f>
        <v>2600000</v>
      </c>
      <c r="I4" s="40"/>
      <c r="J4" s="40"/>
      <c r="K4" s="7"/>
      <c r="L4" s="7"/>
      <c r="M4" s="39"/>
    </row>
    <row r="5" spans="1:14" x14ac:dyDescent="0.2">
      <c r="A5" s="72" t="s">
        <v>109</v>
      </c>
      <c r="B5" s="41" t="s">
        <v>42</v>
      </c>
      <c r="C5" s="25"/>
      <c r="D5" s="25"/>
      <c r="E5" s="25"/>
      <c r="F5" s="38">
        <v>19</v>
      </c>
      <c r="G5" s="25">
        <v>1E-3</v>
      </c>
      <c r="H5" s="26">
        <f t="shared" si="0"/>
        <v>1899999.9999999998</v>
      </c>
      <c r="I5" s="7">
        <f>AVERAGE(H5:H6)</f>
        <v>2200000</v>
      </c>
      <c r="J5" s="7">
        <f>STDEV(H5:H6)</f>
        <v>424264.0687119285</v>
      </c>
      <c r="K5" s="7">
        <f>I5*0.05</f>
        <v>110000</v>
      </c>
      <c r="L5" s="7">
        <f>J5*0.05</f>
        <v>21213.203435596428</v>
      </c>
      <c r="M5" s="39">
        <f>K5/15300</f>
        <v>7.1895424836601309</v>
      </c>
    </row>
    <row r="6" spans="1:14" x14ac:dyDescent="0.2">
      <c r="A6" s="73"/>
      <c r="B6" s="41" t="s">
        <v>43</v>
      </c>
      <c r="C6" s="25"/>
      <c r="D6" s="25"/>
      <c r="E6" s="25"/>
      <c r="F6" s="38">
        <v>25</v>
      </c>
      <c r="G6" s="25">
        <v>1E-3</v>
      </c>
      <c r="H6" s="26">
        <f t="shared" si="0"/>
        <v>2500000</v>
      </c>
      <c r="I6" s="40"/>
      <c r="J6" s="40"/>
      <c r="K6" s="7"/>
      <c r="L6" s="7"/>
      <c r="M6" s="39"/>
    </row>
    <row r="7" spans="1:14" x14ac:dyDescent="0.2">
      <c r="A7" s="73" t="s">
        <v>110</v>
      </c>
      <c r="B7" s="41" t="s">
        <v>44</v>
      </c>
      <c r="C7" s="25"/>
      <c r="D7" s="25"/>
      <c r="E7" s="25"/>
      <c r="F7" s="38">
        <v>16</v>
      </c>
      <c r="G7" s="25">
        <v>1E-3</v>
      </c>
      <c r="H7" s="26">
        <f t="shared" si="0"/>
        <v>1599999.9999999998</v>
      </c>
      <c r="I7" s="7">
        <f>AVERAGE(H7:H8)</f>
        <v>1950000</v>
      </c>
      <c r="J7" s="7">
        <f>STDEV(H7:H8)</f>
        <v>494974.74683058227</v>
      </c>
      <c r="K7" s="7">
        <f>I7*0.05</f>
        <v>97500</v>
      </c>
      <c r="L7" s="7">
        <f>J7*0.05</f>
        <v>24748.737341529115</v>
      </c>
      <c r="M7" s="39">
        <f>K7/15300</f>
        <v>6.3725490196078427</v>
      </c>
    </row>
    <row r="8" spans="1:14" x14ac:dyDescent="0.2">
      <c r="A8" s="73"/>
      <c r="B8" s="41" t="s">
        <v>45</v>
      </c>
      <c r="C8" s="25"/>
      <c r="D8" s="25"/>
      <c r="E8" s="25"/>
      <c r="F8" s="38">
        <v>23</v>
      </c>
      <c r="G8" s="25">
        <v>1E-3</v>
      </c>
      <c r="H8" s="26">
        <f t="shared" si="0"/>
        <v>2300000</v>
      </c>
      <c r="I8" s="40"/>
      <c r="J8" s="40"/>
      <c r="K8" s="7"/>
      <c r="L8" s="7"/>
      <c r="M8" s="39"/>
    </row>
    <row r="9" spans="1:14" ht="16" customHeight="1" x14ac:dyDescent="0.2">
      <c r="A9" s="73" t="s">
        <v>113</v>
      </c>
      <c r="B9" s="41" t="s">
        <v>46</v>
      </c>
      <c r="C9" s="25"/>
      <c r="D9" s="25"/>
      <c r="E9" s="25"/>
      <c r="F9" s="38">
        <v>17</v>
      </c>
      <c r="G9" s="25">
        <v>1E-3</v>
      </c>
      <c r="H9" s="26">
        <f t="shared" si="0"/>
        <v>1699999.9999999998</v>
      </c>
      <c r="I9" s="7">
        <f>AVERAGE(H9:H10)</f>
        <v>1699999.9999999998</v>
      </c>
      <c r="J9" s="7">
        <f>STDEV(H9:H10)</f>
        <v>0</v>
      </c>
      <c r="K9" s="7">
        <f>I9*0.05</f>
        <v>85000</v>
      </c>
      <c r="L9" s="7">
        <f>J9*0.05</f>
        <v>0</v>
      </c>
      <c r="M9" s="39">
        <f>K9/15300</f>
        <v>5.5555555555555554</v>
      </c>
    </row>
    <row r="10" spans="1:14" x14ac:dyDescent="0.2">
      <c r="A10" s="73"/>
      <c r="B10" s="41" t="s">
        <v>47</v>
      </c>
      <c r="C10" s="25"/>
      <c r="D10" s="25"/>
      <c r="E10" s="25"/>
      <c r="F10" s="38">
        <v>17</v>
      </c>
      <c r="G10" s="25">
        <v>1E-3</v>
      </c>
      <c r="H10" s="26">
        <f t="shared" si="0"/>
        <v>1699999.9999999998</v>
      </c>
      <c r="I10" s="40"/>
      <c r="J10" s="40"/>
      <c r="K10" s="7"/>
      <c r="L10" s="7"/>
      <c r="M10" s="39"/>
    </row>
    <row r="11" spans="1:14" x14ac:dyDescent="0.2">
      <c r="A11" s="1" t="s">
        <v>48</v>
      </c>
      <c r="B11" s="1"/>
      <c r="C11" s="1">
        <v>1</v>
      </c>
      <c r="D11" s="1">
        <f>C11/10</f>
        <v>0.1</v>
      </c>
      <c r="E11" s="1">
        <f t="shared" ref="E11:F11" si="1">D11/10</f>
        <v>0.01</v>
      </c>
      <c r="F11" s="1">
        <f t="shared" si="1"/>
        <v>1E-3</v>
      </c>
    </row>
    <row r="13" spans="1:14" x14ac:dyDescent="0.2">
      <c r="A13" s="1"/>
      <c r="B13" s="1" t="s">
        <v>49</v>
      </c>
      <c r="C13" s="1" t="s">
        <v>36</v>
      </c>
    </row>
    <row r="14" spans="1:14" ht="17" x14ac:dyDescent="0.2">
      <c r="A14" s="9" t="s">
        <v>30</v>
      </c>
      <c r="B14" s="7">
        <f>K3</f>
        <v>142500</v>
      </c>
      <c r="C14" s="7">
        <f>L3</f>
        <v>17677.669529663672</v>
      </c>
    </row>
    <row r="15" spans="1:14" ht="17" x14ac:dyDescent="0.2">
      <c r="A15" s="63" t="s">
        <v>108</v>
      </c>
      <c r="B15" s="7">
        <f>K5</f>
        <v>110000</v>
      </c>
      <c r="C15" s="7">
        <f>L5</f>
        <v>21213.203435596428</v>
      </c>
    </row>
    <row r="16" spans="1:14" ht="17" x14ac:dyDescent="0.2">
      <c r="A16" s="63" t="s">
        <v>107</v>
      </c>
      <c r="B16" s="7">
        <f>K7</f>
        <v>97500</v>
      </c>
      <c r="C16" s="7">
        <f>L7</f>
        <v>24748.737341529115</v>
      </c>
    </row>
    <row r="17" spans="1:3" ht="17" x14ac:dyDescent="0.2">
      <c r="A17" s="6" t="s">
        <v>114</v>
      </c>
      <c r="B17" s="7">
        <f>K9</f>
        <v>85000</v>
      </c>
      <c r="C17" s="7">
        <f>L9</f>
        <v>0</v>
      </c>
    </row>
  </sheetData>
  <mergeCells count="5">
    <mergeCell ref="A5:A6"/>
    <mergeCell ref="A3:A4"/>
    <mergeCell ref="A7:A8"/>
    <mergeCell ref="A9:A10"/>
    <mergeCell ref="C1:F1"/>
  </mergeCells>
  <phoneticPr fontId="4" type="noConversion"/>
  <pageMargins left="0.75" right="0.75" top="1" bottom="1" header="0.5" footer="0.5"/>
  <pageSetup scale="73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10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Y18"/>
  <sheetViews>
    <sheetView showRuler="0" workbookViewId="0">
      <selection activeCell="J2" sqref="J2:O5"/>
    </sheetView>
  </sheetViews>
  <sheetFormatPr baseColWidth="10" defaultRowHeight="16" x14ac:dyDescent="0.2"/>
  <cols>
    <col min="1" max="1" width="17.33203125" customWidth="1"/>
    <col min="2" max="2" width="5.5" bestFit="1" customWidth="1"/>
    <col min="3" max="4" width="7" bestFit="1" customWidth="1"/>
    <col min="5" max="5" width="8.1640625" bestFit="1" customWidth="1"/>
    <col min="6" max="6" width="7.83203125" bestFit="1" customWidth="1"/>
    <col min="7" max="7" width="8.83203125" bestFit="1" customWidth="1"/>
    <col min="8" max="8" width="8.1640625" customWidth="1"/>
    <col min="10" max="10" width="17" customWidth="1"/>
    <col min="11" max="12" width="8.83203125" bestFit="1" customWidth="1"/>
    <col min="13" max="13" width="7.6640625" bestFit="1" customWidth="1"/>
    <col min="14" max="14" width="6" bestFit="1" customWidth="1"/>
    <col min="15" max="15" width="7.33203125" bestFit="1" customWidth="1"/>
  </cols>
  <sheetData>
    <row r="1" spans="1:25" x14ac:dyDescent="0.2">
      <c r="A1" s="42"/>
      <c r="B1" s="42"/>
      <c r="C1" s="22"/>
      <c r="E1" s="43"/>
      <c r="F1" s="43"/>
      <c r="G1" s="32"/>
      <c r="H1" s="54"/>
      <c r="I1" s="32"/>
      <c r="J1" s="44"/>
      <c r="K1" s="44"/>
      <c r="L1" s="45"/>
      <c r="M1" s="45"/>
    </row>
    <row r="2" spans="1:25" ht="51" x14ac:dyDescent="0.2">
      <c r="A2" s="31"/>
      <c r="B2" s="56" t="s">
        <v>50</v>
      </c>
      <c r="C2" s="56" t="s">
        <v>51</v>
      </c>
      <c r="D2" s="56" t="s">
        <v>52</v>
      </c>
      <c r="E2" s="24" t="s">
        <v>33</v>
      </c>
      <c r="F2" s="24" t="s">
        <v>53</v>
      </c>
      <c r="G2" s="24" t="s">
        <v>37</v>
      </c>
      <c r="H2" s="24" t="s">
        <v>62</v>
      </c>
      <c r="J2" s="1"/>
      <c r="K2" s="35" t="s">
        <v>54</v>
      </c>
      <c r="L2" s="31" t="s">
        <v>55</v>
      </c>
      <c r="M2" s="65" t="s">
        <v>56</v>
      </c>
      <c r="N2" s="50" t="s">
        <v>62</v>
      </c>
      <c r="O2" s="24" t="s">
        <v>63</v>
      </c>
    </row>
    <row r="3" spans="1:25" ht="17" x14ac:dyDescent="0.2">
      <c r="A3" s="77" t="s">
        <v>30</v>
      </c>
      <c r="B3" s="53" t="s">
        <v>38</v>
      </c>
      <c r="C3" s="46">
        <v>7</v>
      </c>
      <c r="D3" s="46">
        <v>8</v>
      </c>
      <c r="E3" s="25">
        <v>1</v>
      </c>
      <c r="F3" s="40">
        <f t="shared" ref="F3:F11" si="0">AVERAGE(C3,D3)</f>
        <v>7.5</v>
      </c>
      <c r="G3" s="7">
        <f>(F3/(0.05*E3))*0.2</f>
        <v>30</v>
      </c>
      <c r="H3" s="76">
        <f>TTEST(G3:G5,G3:G5,2,2)</f>
        <v>1</v>
      </c>
      <c r="I3" s="21"/>
      <c r="J3" s="9" t="s">
        <v>30</v>
      </c>
      <c r="K3" s="7">
        <f>AVERAGE(G3:G5)</f>
        <v>20.666666666666668</v>
      </c>
      <c r="L3" s="7">
        <f>STDEV(G3:G5)</f>
        <v>11.372481406154655</v>
      </c>
      <c r="M3" s="39">
        <v>9.3000000000000007</v>
      </c>
      <c r="N3" s="1"/>
      <c r="O3" s="19">
        <f>IF(K3/$K$3&gt;=1,K3/$K$3,-$K$3/K3)</f>
        <v>1</v>
      </c>
      <c r="R3" s="21"/>
      <c r="T3" s="21"/>
      <c r="U3" s="21"/>
      <c r="V3" s="21"/>
      <c r="W3" s="21"/>
      <c r="X3" s="21"/>
      <c r="Y3" s="21"/>
    </row>
    <row r="4" spans="1:25" ht="17" x14ac:dyDescent="0.2">
      <c r="A4" s="77"/>
      <c r="B4" s="53" t="s">
        <v>41</v>
      </c>
      <c r="C4" s="46">
        <v>4</v>
      </c>
      <c r="D4" s="46">
        <v>8</v>
      </c>
      <c r="E4" s="25">
        <v>1</v>
      </c>
      <c r="F4" s="40">
        <f t="shared" si="0"/>
        <v>6</v>
      </c>
      <c r="G4" s="7">
        <f t="shared" ref="G4:G11" si="1">(F4/(0.05*E4))*0.2</f>
        <v>24</v>
      </c>
      <c r="H4" s="76"/>
      <c r="J4" s="63" t="s">
        <v>108</v>
      </c>
      <c r="K4" s="7">
        <f>AVERAGE(G6:G8)</f>
        <v>11.333333333333334</v>
      </c>
      <c r="L4" s="7">
        <f>STDEV(G6:G8)</f>
        <v>10.066445913694334</v>
      </c>
      <c r="M4" s="39">
        <v>7.2</v>
      </c>
      <c r="N4" s="29">
        <f>TTEST(G3:G5,G6:G8,2,2)</f>
        <v>0.34713445890329497</v>
      </c>
      <c r="O4" s="19">
        <f>IF(K4/$K$3&gt;=1,K4/$K$3,-$K$3/K4)</f>
        <v>-1.8235294117647058</v>
      </c>
    </row>
    <row r="5" spans="1:25" ht="17" x14ac:dyDescent="0.2">
      <c r="A5" s="77"/>
      <c r="B5" s="53" t="s">
        <v>64</v>
      </c>
      <c r="C5" s="46">
        <v>3</v>
      </c>
      <c r="D5" s="46">
        <v>1</v>
      </c>
      <c r="E5" s="25">
        <v>1</v>
      </c>
      <c r="F5" s="40">
        <f t="shared" si="0"/>
        <v>2</v>
      </c>
      <c r="G5" s="7">
        <f t="shared" si="1"/>
        <v>8</v>
      </c>
      <c r="H5" s="76"/>
      <c r="J5" s="63" t="s">
        <v>107</v>
      </c>
      <c r="K5" s="7">
        <f>AVERAGE(G9:G11)</f>
        <v>23.333333333333332</v>
      </c>
      <c r="L5" s="7">
        <f>STDEV(G9:G11)</f>
        <v>9.0184995056457904</v>
      </c>
      <c r="M5" s="39">
        <v>6.4</v>
      </c>
      <c r="N5" s="29">
        <f>TTEST(G3:G5,G9:G11,2,2)</f>
        <v>0.76623767590403624</v>
      </c>
      <c r="O5" s="19">
        <f>IF(K5/$K$3&gt;=1,K5/$K$3,-$K$3/K5)</f>
        <v>1.129032258064516</v>
      </c>
    </row>
    <row r="6" spans="1:25" ht="15" customHeight="1" x14ac:dyDescent="0.2">
      <c r="A6" s="72" t="s">
        <v>109</v>
      </c>
      <c r="B6" s="53" t="s">
        <v>42</v>
      </c>
      <c r="C6" s="46">
        <v>0</v>
      </c>
      <c r="D6" s="46">
        <v>5</v>
      </c>
      <c r="E6" s="25">
        <v>1</v>
      </c>
      <c r="F6" s="1">
        <f t="shared" si="0"/>
        <v>2.5</v>
      </c>
      <c r="G6" s="7">
        <f t="shared" si="1"/>
        <v>10</v>
      </c>
      <c r="H6" s="76">
        <f>TTEST(G6:G8,G3:G5,2,2)</f>
        <v>0.34713445890329497</v>
      </c>
      <c r="J6" s="6" t="s">
        <v>114</v>
      </c>
      <c r="K6" s="7">
        <f>AVERAGE(G12:G14)</f>
        <v>20.666666666666668</v>
      </c>
      <c r="L6" s="7">
        <f>STDEV(G12:G14)</f>
        <v>21.93931022920578</v>
      </c>
      <c r="M6" s="39">
        <v>5.6</v>
      </c>
      <c r="N6" s="29">
        <f>TTEST(G3:G5,G12:G14,2,2)</f>
        <v>1</v>
      </c>
      <c r="O6" s="19">
        <f>IF(K6/$K$3&gt;=1,K6/$K$3,-$K$3/K6)</f>
        <v>1</v>
      </c>
    </row>
    <row r="7" spans="1:25" ht="15" customHeight="1" x14ac:dyDescent="0.2">
      <c r="A7" s="73"/>
      <c r="B7" s="53" t="s">
        <v>43</v>
      </c>
      <c r="C7" s="46">
        <v>5</v>
      </c>
      <c r="D7" s="46">
        <v>6</v>
      </c>
      <c r="E7" s="25">
        <v>1</v>
      </c>
      <c r="F7" s="1">
        <f t="shared" si="0"/>
        <v>5.5</v>
      </c>
      <c r="G7" s="7">
        <f t="shared" si="1"/>
        <v>22</v>
      </c>
      <c r="H7" s="76"/>
    </row>
    <row r="8" spans="1:25" x14ac:dyDescent="0.2">
      <c r="A8" s="73"/>
      <c r="B8" s="53" t="s">
        <v>66</v>
      </c>
      <c r="C8" s="46">
        <v>0</v>
      </c>
      <c r="D8" s="46">
        <v>1</v>
      </c>
      <c r="E8" s="25">
        <v>1</v>
      </c>
      <c r="F8" s="1">
        <f t="shared" si="0"/>
        <v>0.5</v>
      </c>
      <c r="G8" s="7">
        <f t="shared" si="1"/>
        <v>2</v>
      </c>
      <c r="H8" s="76"/>
      <c r="J8" s="21"/>
    </row>
    <row r="9" spans="1:25" x14ac:dyDescent="0.2">
      <c r="A9" s="73" t="s">
        <v>111</v>
      </c>
      <c r="B9" s="53" t="s">
        <v>44</v>
      </c>
      <c r="C9" s="46">
        <v>5</v>
      </c>
      <c r="D9" s="46">
        <v>7</v>
      </c>
      <c r="E9" s="25">
        <v>1</v>
      </c>
      <c r="F9" s="1">
        <f t="shared" si="0"/>
        <v>6</v>
      </c>
      <c r="G9" s="7">
        <f t="shared" si="1"/>
        <v>24</v>
      </c>
      <c r="H9" s="76">
        <f>TTEST(G9:G11,G3:G5,2,2)</f>
        <v>0.76623767590403624</v>
      </c>
    </row>
    <row r="10" spans="1:25" ht="15" customHeight="1" x14ac:dyDescent="0.2">
      <c r="A10" s="73"/>
      <c r="B10" s="53" t="s">
        <v>45</v>
      </c>
      <c r="C10" s="46">
        <v>13</v>
      </c>
      <c r="D10" s="46">
        <v>3</v>
      </c>
      <c r="E10" s="25">
        <v>1</v>
      </c>
      <c r="F10" s="1">
        <f t="shared" si="0"/>
        <v>8</v>
      </c>
      <c r="G10" s="7">
        <f>(F10/(0.05*E10))*0.2</f>
        <v>32</v>
      </c>
      <c r="H10" s="76"/>
    </row>
    <row r="11" spans="1:25" x14ac:dyDescent="0.2">
      <c r="A11" s="73"/>
      <c r="B11" s="53" t="s">
        <v>112</v>
      </c>
      <c r="C11" s="46">
        <v>3</v>
      </c>
      <c r="D11" s="46">
        <v>4</v>
      </c>
      <c r="E11" s="25">
        <v>1</v>
      </c>
      <c r="F11" s="1">
        <f t="shared" si="0"/>
        <v>3.5</v>
      </c>
      <c r="G11" s="7">
        <f t="shared" si="1"/>
        <v>14</v>
      </c>
      <c r="H11" s="76"/>
    </row>
    <row r="12" spans="1:25" x14ac:dyDescent="0.2">
      <c r="A12" s="72" t="s">
        <v>115</v>
      </c>
      <c r="B12" s="55" t="s">
        <v>46</v>
      </c>
      <c r="C12" s="46">
        <v>17</v>
      </c>
      <c r="D12" s="46">
        <v>6</v>
      </c>
      <c r="E12" s="25">
        <v>1</v>
      </c>
      <c r="F12" s="1">
        <f t="shared" ref="F12:F14" si="2">AVERAGE(C12,D12)</f>
        <v>11.5</v>
      </c>
      <c r="G12" s="7">
        <f t="shared" ref="G12" si="3">(F12/(0.05*E12))*0.2</f>
        <v>46</v>
      </c>
      <c r="H12" s="76">
        <f>TTEST(G12:G14,G6:G8,2,2)</f>
        <v>0.53971731951930968</v>
      </c>
    </row>
    <row r="13" spans="1:25" x14ac:dyDescent="0.2">
      <c r="A13" s="73"/>
      <c r="B13" s="55" t="s">
        <v>47</v>
      </c>
      <c r="C13" s="46">
        <v>3</v>
      </c>
      <c r="D13" s="46">
        <v>1</v>
      </c>
      <c r="E13" s="25">
        <v>1</v>
      </c>
      <c r="F13" s="1">
        <f t="shared" si="2"/>
        <v>2</v>
      </c>
      <c r="G13" s="7">
        <f>(F13/(0.05*E13))*0.2</f>
        <v>8</v>
      </c>
      <c r="H13" s="76"/>
    </row>
    <row r="14" spans="1:25" x14ac:dyDescent="0.2">
      <c r="A14" s="73"/>
      <c r="B14" s="55" t="s">
        <v>65</v>
      </c>
      <c r="C14" s="46">
        <v>4</v>
      </c>
      <c r="D14" s="46">
        <v>0</v>
      </c>
      <c r="E14" s="25">
        <v>1</v>
      </c>
      <c r="F14" s="1">
        <f t="shared" si="2"/>
        <v>2</v>
      </c>
      <c r="G14" s="7">
        <f t="shared" ref="G14" si="4">(F14/(0.05*E14))*0.2</f>
        <v>8</v>
      </c>
      <c r="H14" s="76"/>
    </row>
    <row r="15" spans="1:25" x14ac:dyDescent="0.2">
      <c r="A15" s="47" t="s">
        <v>71</v>
      </c>
      <c r="B15" s="53"/>
      <c r="C15" s="25">
        <v>0</v>
      </c>
      <c r="D15" s="25">
        <v>0</v>
      </c>
      <c r="E15" s="25"/>
      <c r="F15" s="1" t="s">
        <v>40</v>
      </c>
      <c r="G15" s="7" t="s">
        <v>40</v>
      </c>
    </row>
    <row r="16" spans="1:25" x14ac:dyDescent="0.2">
      <c r="A16" s="47" t="s">
        <v>72</v>
      </c>
      <c r="B16" s="53"/>
      <c r="C16" s="25">
        <v>0</v>
      </c>
      <c r="D16" s="25">
        <v>0</v>
      </c>
      <c r="E16" s="25"/>
      <c r="F16" s="1" t="s">
        <v>40</v>
      </c>
      <c r="G16" s="7" t="s">
        <v>40</v>
      </c>
    </row>
    <row r="17" spans="1:1" x14ac:dyDescent="0.2">
      <c r="A17" s="57" t="s">
        <v>57</v>
      </c>
    </row>
    <row r="18" spans="1:1" x14ac:dyDescent="0.2">
      <c r="A18" s="57" t="s">
        <v>58</v>
      </c>
    </row>
  </sheetData>
  <mergeCells count="8">
    <mergeCell ref="A12:A14"/>
    <mergeCell ref="H12:H14"/>
    <mergeCell ref="A3:A5"/>
    <mergeCell ref="A6:A8"/>
    <mergeCell ref="A9:A11"/>
    <mergeCell ref="H6:H8"/>
    <mergeCell ref="H9:H11"/>
    <mergeCell ref="H3:H5"/>
  </mergeCells>
  <phoneticPr fontId="4" type="noConversion"/>
  <pageMargins left="0.75" right="0.75" top="1" bottom="1" header="0.5" footer="0.5"/>
  <pageSetup scale="5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10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D16"/>
  <sheetViews>
    <sheetView showRuler="0" topLeftCell="A5" workbookViewId="0">
      <selection activeCell="AG14" sqref="AG14"/>
    </sheetView>
  </sheetViews>
  <sheetFormatPr baseColWidth="10" defaultRowHeight="16" x14ac:dyDescent="0.2"/>
  <cols>
    <col min="1" max="1" width="20.33203125" bestFit="1" customWidth="1"/>
    <col min="2" max="2" width="5.5" bestFit="1" customWidth="1"/>
    <col min="3" max="8" width="6" bestFit="1" customWidth="1"/>
    <col min="9" max="9" width="8.1640625" bestFit="1" customWidth="1"/>
    <col min="10" max="10" width="7.83203125" bestFit="1" customWidth="1"/>
    <col min="11" max="11" width="8.83203125" bestFit="1" customWidth="1"/>
    <col min="12" max="12" width="2.1640625" customWidth="1"/>
    <col min="13" max="13" width="17" bestFit="1" customWidth="1"/>
    <col min="14" max="15" width="8.83203125" bestFit="1" customWidth="1"/>
    <col min="16" max="16" width="7.6640625" bestFit="1" customWidth="1"/>
    <col min="17" max="17" width="7.1640625" bestFit="1" customWidth="1"/>
    <col min="18" max="18" width="8.5" bestFit="1" customWidth="1"/>
    <col min="21" max="21" width="15" bestFit="1" customWidth="1"/>
    <col min="28" max="28" width="15" bestFit="1" customWidth="1"/>
  </cols>
  <sheetData>
    <row r="1" spans="1:30" x14ac:dyDescent="0.2">
      <c r="A1" s="42" t="s">
        <v>0</v>
      </c>
      <c r="B1" s="42"/>
      <c r="C1" s="71" t="s">
        <v>59</v>
      </c>
      <c r="D1" s="71"/>
      <c r="E1" s="71"/>
      <c r="F1" s="71" t="s">
        <v>60</v>
      </c>
      <c r="G1" s="71"/>
      <c r="H1" s="71"/>
      <c r="M1" s="78" t="s">
        <v>116</v>
      </c>
      <c r="N1" s="78"/>
      <c r="O1" s="78"/>
      <c r="P1" s="78"/>
      <c r="Q1" s="78"/>
      <c r="R1" s="78"/>
      <c r="U1" s="78" t="s">
        <v>117</v>
      </c>
      <c r="V1" s="78"/>
      <c r="W1" s="78"/>
      <c r="X1" s="78"/>
      <c r="Y1" s="78"/>
      <c r="Z1" s="78"/>
    </row>
    <row r="2" spans="1:30" ht="51" x14ac:dyDescent="0.2">
      <c r="A2" s="31"/>
      <c r="B2" s="31" t="s">
        <v>50</v>
      </c>
      <c r="C2" s="31">
        <v>1</v>
      </c>
      <c r="D2" s="31">
        <v>2</v>
      </c>
      <c r="E2" s="34">
        <v>3</v>
      </c>
      <c r="F2" s="31">
        <v>1</v>
      </c>
      <c r="G2" s="31">
        <v>2</v>
      </c>
      <c r="H2" s="34">
        <v>3</v>
      </c>
      <c r="I2" s="65" t="s">
        <v>33</v>
      </c>
      <c r="J2" s="35" t="s">
        <v>53</v>
      </c>
      <c r="K2" s="35" t="s">
        <v>37</v>
      </c>
      <c r="L2" s="51"/>
      <c r="M2" s="1"/>
      <c r="N2" s="35" t="s">
        <v>54</v>
      </c>
      <c r="O2" s="31" t="s">
        <v>55</v>
      </c>
      <c r="P2" s="65" t="s">
        <v>56</v>
      </c>
      <c r="Q2" s="24" t="s">
        <v>70</v>
      </c>
      <c r="R2" s="24" t="s">
        <v>63</v>
      </c>
      <c r="U2" s="1"/>
      <c r="V2" s="35" t="s">
        <v>54</v>
      </c>
      <c r="W2" s="31" t="s">
        <v>55</v>
      </c>
      <c r="X2" s="65" t="s">
        <v>56</v>
      </c>
      <c r="Y2" s="66" t="s">
        <v>62</v>
      </c>
      <c r="Z2" s="24" t="s">
        <v>63</v>
      </c>
      <c r="AB2" s="1"/>
      <c r="AC2" s="35" t="s">
        <v>118</v>
      </c>
      <c r="AD2" s="31" t="s">
        <v>55</v>
      </c>
    </row>
    <row r="3" spans="1:30" ht="17" x14ac:dyDescent="0.2">
      <c r="A3" s="77" t="s">
        <v>30</v>
      </c>
      <c r="B3" s="55" t="s">
        <v>38</v>
      </c>
      <c r="C3" s="25" t="s">
        <v>39</v>
      </c>
      <c r="D3" s="25" t="s">
        <v>39</v>
      </c>
      <c r="E3" s="46">
        <v>23</v>
      </c>
      <c r="F3" s="25" t="s">
        <v>39</v>
      </c>
      <c r="G3" s="25" t="s">
        <v>39</v>
      </c>
      <c r="H3" s="46">
        <v>19</v>
      </c>
      <c r="I3" s="25">
        <v>0.01</v>
      </c>
      <c r="J3" s="40">
        <f>AVERAGE(E3,H3)</f>
        <v>21</v>
      </c>
      <c r="K3" s="7">
        <f>(J3/(0.01*I3))*0.2</f>
        <v>42000</v>
      </c>
      <c r="L3" s="52"/>
      <c r="M3" s="9" t="s">
        <v>30</v>
      </c>
      <c r="N3" s="7">
        <f>AVERAGE(K3:K5)</f>
        <v>30666.666666666668</v>
      </c>
      <c r="O3" s="7">
        <f>STDEV(K3:K5)</f>
        <v>10016.65280087781</v>
      </c>
      <c r="P3" s="39">
        <v>9.3000000000000007</v>
      </c>
      <c r="Q3" s="1"/>
      <c r="R3" s="19">
        <f>IF(N3/$N$3&gt;=1,N3/$N$3,-$N$3/N3)</f>
        <v>1</v>
      </c>
      <c r="U3" s="9" t="s">
        <v>30</v>
      </c>
      <c r="V3" s="7">
        <f>'T=2'!K3</f>
        <v>20.666666666666668</v>
      </c>
      <c r="W3" s="7">
        <f>'T=2'!L3</f>
        <v>11.372481406154655</v>
      </c>
      <c r="X3" s="39">
        <f>'T=2'!M3</f>
        <v>9.3000000000000007</v>
      </c>
      <c r="Y3" s="19">
        <f>'T=2'!N3</f>
        <v>0</v>
      </c>
      <c r="Z3" s="19">
        <f>'T=2'!O3</f>
        <v>1</v>
      </c>
      <c r="AB3" s="9" t="s">
        <v>30</v>
      </c>
      <c r="AC3" s="7">
        <f>N3/V3</f>
        <v>1483.8709677419354</v>
      </c>
      <c r="AD3" s="7">
        <f>AC3*(SQRT((O3/N3)^2)+(W3/V3)^2)</f>
        <v>934.00708309440301</v>
      </c>
    </row>
    <row r="4" spans="1:30" ht="17" x14ac:dyDescent="0.2">
      <c r="A4" s="77"/>
      <c r="B4" s="55" t="s">
        <v>41</v>
      </c>
      <c r="C4" s="48" t="s">
        <v>39</v>
      </c>
      <c r="D4" s="48" t="s">
        <v>39</v>
      </c>
      <c r="E4" s="46">
        <v>12</v>
      </c>
      <c r="F4" s="48" t="s">
        <v>39</v>
      </c>
      <c r="G4" s="48" t="s">
        <v>39</v>
      </c>
      <c r="H4" s="46">
        <v>11</v>
      </c>
      <c r="I4" s="25">
        <v>0.01</v>
      </c>
      <c r="J4" s="40">
        <f>AVERAGE(E4,H4)</f>
        <v>11.5</v>
      </c>
      <c r="K4" s="7">
        <f t="shared" ref="K4:K5" si="0">(J4/(0.01*I4))*0.2</f>
        <v>23000</v>
      </c>
      <c r="L4" s="52"/>
      <c r="M4" s="63" t="s">
        <v>108</v>
      </c>
      <c r="N4" s="7">
        <f>AVERAGE(K6:K8)</f>
        <v>6.666666666666667</v>
      </c>
      <c r="O4" s="7">
        <f>STDEV(K6:K8)</f>
        <v>11.547005383792515</v>
      </c>
      <c r="P4" s="39">
        <v>7.2</v>
      </c>
      <c r="Q4" s="29">
        <f>TTEST(K3:K5,K6:K8,2,2)</f>
        <v>6.0804491862541049E-3</v>
      </c>
      <c r="R4" s="19">
        <f>IF(N4/$N$3&gt;=1,N4/$N$3,-$N$3/N4)</f>
        <v>-4600</v>
      </c>
      <c r="U4" s="63" t="s">
        <v>109</v>
      </c>
      <c r="V4" s="7">
        <f>'T=2'!K4</f>
        <v>11.333333333333334</v>
      </c>
      <c r="W4" s="7">
        <f>'T=2'!L4</f>
        <v>10.066445913694334</v>
      </c>
      <c r="X4" s="39">
        <f>'T=2'!M4</f>
        <v>7.2</v>
      </c>
      <c r="Y4" s="19">
        <f>'T=2'!N4</f>
        <v>0.34713445890329497</v>
      </c>
      <c r="Z4" s="19">
        <f>'T=2'!O4</f>
        <v>-1.8235294117647058</v>
      </c>
      <c r="AB4" s="63" t="s">
        <v>109</v>
      </c>
      <c r="AC4" s="7">
        <f t="shared" ref="AC4:AC5" si="1">N4/V4</f>
        <v>0.58823529411764708</v>
      </c>
      <c r="AD4" s="7">
        <f>AC4*(SQRT((O4/N4)^2)+(W4/V4)^2)</f>
        <v>1.4829283195347152</v>
      </c>
    </row>
    <row r="5" spans="1:30" ht="17" x14ac:dyDescent="0.2">
      <c r="A5" s="77"/>
      <c r="B5" s="55" t="s">
        <v>64</v>
      </c>
      <c r="C5" s="48" t="s">
        <v>39</v>
      </c>
      <c r="D5" s="48" t="s">
        <v>39</v>
      </c>
      <c r="E5" s="46">
        <v>15</v>
      </c>
      <c r="F5" s="48" t="s">
        <v>39</v>
      </c>
      <c r="G5" s="48" t="s">
        <v>39</v>
      </c>
      <c r="H5" s="46">
        <v>12</v>
      </c>
      <c r="I5" s="25">
        <v>0.01</v>
      </c>
      <c r="J5" s="40">
        <f>AVERAGE(E5,H5)</f>
        <v>13.5</v>
      </c>
      <c r="K5" s="7">
        <f t="shared" si="0"/>
        <v>27000</v>
      </c>
      <c r="L5" s="52"/>
      <c r="M5" s="63" t="s">
        <v>107</v>
      </c>
      <c r="N5" s="7">
        <f>AVERAGE(K9:K11)</f>
        <v>46333.333333333336</v>
      </c>
      <c r="O5" s="7">
        <f>STDEV(K9:K11)</f>
        <v>5033.2229568471666</v>
      </c>
      <c r="P5" s="39">
        <v>6.4</v>
      </c>
      <c r="Q5" s="29">
        <f>TTEST(K3:K5,K9:K11,2,2)</f>
        <v>7.2714035808765037E-2</v>
      </c>
      <c r="R5" s="40">
        <f>IF(N5/$N$3&gt;=1,N5/$N$3,-$N$3/N5)</f>
        <v>1.5108695652173914</v>
      </c>
      <c r="T5" s="21"/>
      <c r="U5" s="63" t="s">
        <v>110</v>
      </c>
      <c r="V5" s="7">
        <f>'T=2'!K5</f>
        <v>23.333333333333332</v>
      </c>
      <c r="W5" s="7">
        <f>'T=2'!L5</f>
        <v>9.0184995056457904</v>
      </c>
      <c r="X5" s="39">
        <f>'T=2'!M5</f>
        <v>6.4</v>
      </c>
      <c r="Y5" s="19">
        <f>'T=2'!N5</f>
        <v>0.76623767590403624</v>
      </c>
      <c r="Z5" s="19">
        <f>'T=2'!O5</f>
        <v>1.129032258064516</v>
      </c>
      <c r="AB5" s="63" t="s">
        <v>110</v>
      </c>
      <c r="AC5" s="7">
        <f t="shared" si="1"/>
        <v>1985.714285714286</v>
      </c>
      <c r="AD5" s="7">
        <f>AC5*(SQRT((O5/N5)^2)+(W5/V5)^2)</f>
        <v>512.35095471035993</v>
      </c>
    </row>
    <row r="6" spans="1:30" ht="16" customHeight="1" x14ac:dyDescent="0.2">
      <c r="A6" s="72" t="s">
        <v>109</v>
      </c>
      <c r="B6" s="55" t="s">
        <v>42</v>
      </c>
      <c r="C6" s="48">
        <v>0</v>
      </c>
      <c r="D6" s="46"/>
      <c r="E6" s="46"/>
      <c r="F6" s="48">
        <v>0</v>
      </c>
      <c r="G6" s="46"/>
      <c r="H6" s="46"/>
      <c r="I6" s="25">
        <v>1</v>
      </c>
      <c r="J6" s="40">
        <f>AVERAGE(C6,F6)</f>
        <v>0</v>
      </c>
      <c r="K6" s="7">
        <f>(J6/(0.01*I6))*0.2</f>
        <v>0</v>
      </c>
      <c r="L6" s="52"/>
    </row>
    <row r="7" spans="1:30" ht="15" customHeight="1" x14ac:dyDescent="0.2">
      <c r="A7" s="73"/>
      <c r="B7" s="55" t="s">
        <v>43</v>
      </c>
      <c r="C7" s="48">
        <v>1</v>
      </c>
      <c r="D7" s="46"/>
      <c r="E7" s="46"/>
      <c r="F7" s="48">
        <v>1</v>
      </c>
      <c r="G7" s="46"/>
      <c r="H7" s="46"/>
      <c r="I7" s="25">
        <v>1</v>
      </c>
      <c r="J7" s="40">
        <f t="shared" ref="J7:J8" si="2">AVERAGE(C7,F7)</f>
        <v>1</v>
      </c>
      <c r="K7" s="7">
        <f>(J7/(0.01*I7))*0.2</f>
        <v>20</v>
      </c>
      <c r="L7" s="52"/>
      <c r="N7" s="21"/>
      <c r="R7" s="64"/>
    </row>
    <row r="8" spans="1:30" ht="15" customHeight="1" x14ac:dyDescent="0.2">
      <c r="A8" s="73"/>
      <c r="B8" s="55" t="s">
        <v>66</v>
      </c>
      <c r="C8" s="48">
        <v>0</v>
      </c>
      <c r="D8" s="46"/>
      <c r="E8" s="46"/>
      <c r="F8" s="48">
        <v>0</v>
      </c>
      <c r="G8" s="46"/>
      <c r="H8" s="46"/>
      <c r="I8" s="25">
        <v>1</v>
      </c>
      <c r="J8" s="40">
        <f t="shared" si="2"/>
        <v>0</v>
      </c>
      <c r="K8" s="7">
        <f t="shared" ref="K8:K11" si="3">(J8/(0.01*I8))*0.2</f>
        <v>0</v>
      </c>
      <c r="L8" s="52"/>
      <c r="R8" s="64"/>
    </row>
    <row r="9" spans="1:30" ht="16" customHeight="1" x14ac:dyDescent="0.2">
      <c r="A9" s="73" t="s">
        <v>111</v>
      </c>
      <c r="B9" s="55" t="s">
        <v>44</v>
      </c>
      <c r="C9" s="25" t="s">
        <v>39</v>
      </c>
      <c r="D9" s="25" t="s">
        <v>39</v>
      </c>
      <c r="E9" s="46">
        <v>22</v>
      </c>
      <c r="F9" s="25" t="s">
        <v>39</v>
      </c>
      <c r="G9" s="25" t="s">
        <v>39</v>
      </c>
      <c r="H9" s="46">
        <v>29</v>
      </c>
      <c r="I9" s="25">
        <v>0.01</v>
      </c>
      <c r="J9" s="1">
        <f>AVERAGE(E9,H9)</f>
        <v>25.5</v>
      </c>
      <c r="K9" s="7">
        <f>(J9/(0.01*I9))*0.2</f>
        <v>51000</v>
      </c>
      <c r="L9" s="52"/>
    </row>
    <row r="10" spans="1:30" ht="15" customHeight="1" x14ac:dyDescent="0.2">
      <c r="A10" s="73"/>
      <c r="B10" s="55" t="s">
        <v>45</v>
      </c>
      <c r="C10" s="48" t="s">
        <v>39</v>
      </c>
      <c r="D10" s="48" t="s">
        <v>39</v>
      </c>
      <c r="E10" s="46">
        <v>20</v>
      </c>
      <c r="F10" s="48" t="s">
        <v>39</v>
      </c>
      <c r="G10" s="48" t="s">
        <v>39</v>
      </c>
      <c r="H10" s="46">
        <v>27</v>
      </c>
      <c r="I10" s="25">
        <v>0.01</v>
      </c>
      <c r="J10" s="1">
        <f t="shared" ref="J10:J11" si="4">AVERAGE(E10,H10)</f>
        <v>23.5</v>
      </c>
      <c r="K10" s="7">
        <f t="shared" si="3"/>
        <v>47000</v>
      </c>
      <c r="L10" s="52"/>
    </row>
    <row r="11" spans="1:30" x14ac:dyDescent="0.2">
      <c r="A11" s="73"/>
      <c r="B11" s="55" t="s">
        <v>112</v>
      </c>
      <c r="C11" s="48" t="s">
        <v>39</v>
      </c>
      <c r="D11" s="48" t="s">
        <v>39</v>
      </c>
      <c r="E11" s="46">
        <v>21</v>
      </c>
      <c r="F11" s="48" t="s">
        <v>39</v>
      </c>
      <c r="G11" s="48" t="s">
        <v>39</v>
      </c>
      <c r="H11" s="46">
        <v>20</v>
      </c>
      <c r="I11" s="25">
        <v>0.01</v>
      </c>
      <c r="J11" s="1">
        <f t="shared" si="4"/>
        <v>20.5</v>
      </c>
      <c r="K11" s="7">
        <f t="shared" si="3"/>
        <v>41000</v>
      </c>
      <c r="L11" s="52"/>
    </row>
    <row r="12" spans="1:30" x14ac:dyDescent="0.2">
      <c r="A12" s="58" t="s">
        <v>67</v>
      </c>
      <c r="B12" s="55"/>
      <c r="C12" s="25">
        <v>0</v>
      </c>
      <c r="D12" s="25" t="s">
        <v>40</v>
      </c>
      <c r="E12" s="25" t="s">
        <v>40</v>
      </c>
      <c r="F12" s="25" t="s">
        <v>40</v>
      </c>
      <c r="G12" s="25" t="s">
        <v>40</v>
      </c>
      <c r="H12" s="25" t="s">
        <v>40</v>
      </c>
      <c r="I12" s="49">
        <v>1</v>
      </c>
      <c r="J12" s="40">
        <f>AVERAGE(C12)</f>
        <v>0</v>
      </c>
      <c r="K12" s="7">
        <f>(J12/(0.1*I12))*0.2</f>
        <v>0</v>
      </c>
      <c r="L12" s="52"/>
    </row>
    <row r="13" spans="1:30" x14ac:dyDescent="0.2">
      <c r="A13" s="58" t="s">
        <v>68</v>
      </c>
      <c r="B13" s="55"/>
      <c r="C13" s="25">
        <v>0</v>
      </c>
      <c r="D13" s="25" t="s">
        <v>40</v>
      </c>
      <c r="E13" s="25" t="s">
        <v>40</v>
      </c>
      <c r="F13" s="25" t="s">
        <v>40</v>
      </c>
      <c r="G13" s="25" t="s">
        <v>40</v>
      </c>
      <c r="H13" s="25" t="s">
        <v>40</v>
      </c>
      <c r="I13" s="49">
        <v>1</v>
      </c>
      <c r="J13" s="40">
        <f>AVERAGE(C13)</f>
        <v>0</v>
      </c>
      <c r="K13" s="7">
        <f>(J13/(0.1*I13))*0.2</f>
        <v>0</v>
      </c>
      <c r="L13" s="52"/>
    </row>
    <row r="14" spans="1:30" x14ac:dyDescent="0.2">
      <c r="A14" s="1" t="s">
        <v>48</v>
      </c>
      <c r="B14" s="1"/>
      <c r="C14" s="1">
        <v>1</v>
      </c>
      <c r="D14" s="1">
        <f>C14/10</f>
        <v>0.1</v>
      </c>
      <c r="E14" s="1">
        <f>D14/10</f>
        <v>0.01</v>
      </c>
      <c r="F14" s="1">
        <v>1</v>
      </c>
      <c r="G14" s="1">
        <f>F14/10</f>
        <v>0.1</v>
      </c>
      <c r="H14" s="1">
        <f>G14/10</f>
        <v>0.01</v>
      </c>
      <c r="K14" s="21"/>
      <c r="L14" s="21"/>
    </row>
    <row r="15" spans="1:30" x14ac:dyDescent="0.2">
      <c r="A15" s="79" t="s">
        <v>61</v>
      </c>
      <c r="B15" s="79"/>
      <c r="C15" s="79"/>
    </row>
    <row r="16" spans="1:30" x14ac:dyDescent="0.2">
      <c r="D16" s="57"/>
    </row>
  </sheetData>
  <mergeCells count="8">
    <mergeCell ref="M1:R1"/>
    <mergeCell ref="U1:Z1"/>
    <mergeCell ref="A15:C15"/>
    <mergeCell ref="A9:A11"/>
    <mergeCell ref="C1:E1"/>
    <mergeCell ref="F1:H1"/>
    <mergeCell ref="A3:A5"/>
    <mergeCell ref="A6:A8"/>
  </mergeCells>
  <phoneticPr fontId="4" type="noConversion"/>
  <pageMargins left="0.75" right="0.75" top="1" bottom="1" header="0.5" footer="0.5"/>
  <pageSetup scale="53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10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ExperimentalSetup</vt:lpstr>
      <vt:lpstr>Plate Needs</vt:lpstr>
      <vt:lpstr>Inoculum</vt:lpstr>
      <vt:lpstr>T=2</vt:lpstr>
      <vt:lpstr>T=24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Kathryn Levasseur</dc:creator>
  <cp:lastModifiedBy>Kathryn Ramsey</cp:lastModifiedBy>
  <cp:lastPrinted>2019-05-30T21:17:31Z</cp:lastPrinted>
  <dcterms:created xsi:type="dcterms:W3CDTF">2016-02-15T21:32:37Z</dcterms:created>
  <dcterms:modified xsi:type="dcterms:W3CDTF">2019-06-19T17:07:39Z</dcterms:modified>
</cp:coreProperties>
</file>