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Team Drives/KRamsey Lab/Kathryn/Macrophage/"/>
    </mc:Choice>
  </mc:AlternateContent>
  <xr:revisionPtr revIDLastSave="0" documentId="13_ncr:1_{E5EF1643-905D-E647-BA35-21F440F76FB1}" xr6:coauthVersionLast="43" xr6:coauthVersionMax="43" xr10:uidLastSave="{00000000-0000-0000-0000-000000000000}"/>
  <bookViews>
    <workbookView xWindow="0" yWindow="460" windowWidth="28800" windowHeight="16100" tabRatio="500" activeTab="4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3" l="1"/>
  <c r="J7" i="3"/>
  <c r="J8" i="3"/>
  <c r="J5" i="3"/>
  <c r="J3" i="3"/>
  <c r="H4" i="2"/>
  <c r="H5" i="2"/>
  <c r="H6" i="2"/>
  <c r="H7" i="2"/>
  <c r="H8" i="2"/>
  <c r="H9" i="2"/>
  <c r="H10" i="2"/>
  <c r="H3" i="2"/>
  <c r="AG35" i="1" l="1"/>
  <c r="AG34" i="1"/>
  <c r="AG33" i="1"/>
  <c r="AG32" i="1"/>
  <c r="U9" i="1"/>
  <c r="U10" i="1" s="1"/>
  <c r="S3" i="1"/>
  <c r="S2" i="1"/>
  <c r="P9" i="1" l="1"/>
  <c r="B7" i="5" l="1"/>
  <c r="C7" i="5" l="1"/>
  <c r="C8" i="5" s="1"/>
  <c r="B8" i="5"/>
  <c r="B9" i="5" l="1"/>
  <c r="P10" i="1"/>
  <c r="P18" i="1" s="1"/>
  <c r="P20" i="1" s="1"/>
  <c r="P22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K6" i="3"/>
  <c r="K7" i="3"/>
  <c r="K8" i="3"/>
  <c r="J3" i="2"/>
  <c r="L3" i="2" s="1"/>
  <c r="C14" i="2" s="1"/>
  <c r="J11" i="3"/>
  <c r="K11" i="3" s="1"/>
  <c r="P4" i="1"/>
  <c r="P7" i="1" s="1"/>
  <c r="P8" i="1" s="1"/>
  <c r="K3" i="3"/>
  <c r="J4" i="3"/>
  <c r="K4" i="3" s="1"/>
  <c r="K5" i="3"/>
  <c r="J10" i="3"/>
  <c r="K10" i="3" s="1"/>
  <c r="J9" i="3"/>
  <c r="K9" i="3" s="1"/>
  <c r="F10" i="4"/>
  <c r="G10" i="4" s="1"/>
  <c r="J12" i="3"/>
  <c r="K12" i="3" s="1"/>
  <c r="J13" i="3"/>
  <c r="D14" i="3"/>
  <c r="E14" i="3"/>
  <c r="F9" i="4"/>
  <c r="G9" i="4" s="1"/>
  <c r="F11" i="4"/>
  <c r="G11" i="4" s="1"/>
  <c r="J5" i="2"/>
  <c r="L5" i="2" s="1"/>
  <c r="C15" i="2" s="1"/>
  <c r="D11" i="2"/>
  <c r="E11" i="2" s="1"/>
  <c r="F11" i="2" s="1"/>
  <c r="G14" i="3"/>
  <c r="H14" i="3"/>
  <c r="K13" i="3"/>
  <c r="P24" i="1"/>
  <c r="K5" i="4" l="1"/>
  <c r="I5" i="2"/>
  <c r="K5" i="2" s="1"/>
  <c r="N4" i="3"/>
  <c r="I7" i="2"/>
  <c r="K7" i="2" s="1"/>
  <c r="M7" i="2" s="1"/>
  <c r="I9" i="2"/>
  <c r="K9" i="2" s="1"/>
  <c r="I3" i="2"/>
  <c r="K3" i="2" s="1"/>
  <c r="M3" i="2" s="1"/>
  <c r="J7" i="2"/>
  <c r="L7" i="2" s="1"/>
  <c r="C16" i="2" s="1"/>
  <c r="L4" i="4"/>
  <c r="K4" i="4"/>
  <c r="N5" i="3"/>
  <c r="O5" i="3"/>
  <c r="Q5" i="3"/>
  <c r="O3" i="3"/>
  <c r="N3" i="3"/>
  <c r="R3" i="3" s="1"/>
  <c r="Q4" i="3"/>
  <c r="H6" i="4"/>
  <c r="H3" i="4"/>
  <c r="K3" i="4"/>
  <c r="O3" i="4" s="1"/>
  <c r="N5" i="4"/>
  <c r="N4" i="4"/>
  <c r="L3" i="4"/>
  <c r="L5" i="4"/>
  <c r="O4" i="3"/>
  <c r="H9" i="4"/>
  <c r="J9" i="2"/>
  <c r="L9" i="2" s="1"/>
  <c r="C17" i="2" s="1"/>
  <c r="R5" i="3" l="1"/>
  <c r="B17" i="2"/>
  <c r="M9" i="2"/>
  <c r="B15" i="2"/>
  <c r="M5" i="2"/>
  <c r="O5" i="4"/>
  <c r="B16" i="2"/>
  <c r="B14" i="2"/>
  <c r="R4" i="3"/>
  <c r="O4" i="4"/>
</calcChain>
</file>

<file path=xl/sharedStrings.xml><?xml version="1.0" encoding="utf-8"?>
<sst xmlns="http://schemas.openxmlformats.org/spreadsheetml/2006/main" count="253" uniqueCount="114">
  <si>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</si>
  <si>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</si>
  <si>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</si>
  <si>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</si>
  <si>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</si>
  <si>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</si>
  <si>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</si>
  <si>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</si>
  <si>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</si>
  <si>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</si>
  <si>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</si>
  <si>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</si>
  <si>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</si>
  <si>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</si>
  <si>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</si>
  <si>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</si>
  <si>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</si>
  <si>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</si>
  <si>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</si>
  <si>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</si>
  <si>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</si>
  <si>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</si>
  <si>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</si>
  <si>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</si>
  <si>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</si>
  <si>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</si>
  <si>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</si>
  <si>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</si>
  <si>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</si>
  <si>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</si>
  <si>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</si>
  <si>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</si>
  <si>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</si>
  <si>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</si>
  <si>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</si>
  <si>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</si>
  <si>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</si>
  <si>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</si>
  <si>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</si>
  <si>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</si>
  <si>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</si>
  <si>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</si>
  <si>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</si>
  <si>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</si>
  <si>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</si>
  <si>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</si>
  <si>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</si>
  <si>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</si>
  <si>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</si>
  <si>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</si>
  <si>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</si>
  <si>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</si>
  <si>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</si>
  <si>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</si>
  <si>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</si>
  <si>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</si>
  <si>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</si>
  <si>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</si>
  <si>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</si>
  <si>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</si>
  <si>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</si>
  <si>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</si>
  <si>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</si>
  <si>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</si>
  <si>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</si>
  <si>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</si>
  <si>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</si>
  <si>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</si>
  <si>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</si>
  <si>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</si>
  <si>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</si>
  <si>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</si>
  <si>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</si>
  <si>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</si>
  <si>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</si>
  <si>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</si>
  <si>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MOI (based on number of seeded macrophage- see setup)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</si>
  <si>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</si>
  <si>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</si>
  <si>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</si>
  <si>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</si>
  <si>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</si>
  <si>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</si>
  <si>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</si>
  <si>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</si>
  <si>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</si>
  <si>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</si>
  <si>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</si>
  <si>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</si>
  <si>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</si>
  <si>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</si>
  <si>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</si>
  <si>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</si>
  <si>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</si>
  <si>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r>
      <t>∆</t>
    </r>
    <r>
      <rPr>
        <i/>
        <sz val="12"/>
        <color theme="1"/>
        <rFont val="Calibri"/>
        <family val="2"/>
        <scheme val="minor"/>
      </rPr>
      <t>pigR</t>
    </r>
  </si>
  <si>
    <t>pmrAD51A</t>
  </si>
  <si>
    <t>Square: 3 wells plated in duplicate x 2 strains (LVS, pmrAD51A); Round: 3 wells plated in duplicate x 2 strains (∆pmrA, ∆pigR), 2 plates for control wells</t>
  </si>
  <si>
    <t>Set</t>
  </si>
  <si>
    <t>Counts</t>
  </si>
  <si>
    <t>Average</t>
  </si>
  <si>
    <t>Cells per mL</t>
  </si>
  <si>
    <t>Number</t>
  </si>
  <si>
    <t>Strain</t>
  </si>
  <si>
    <t>OD600</t>
  </si>
  <si>
    <t>Dilute ~1:100 for final inoculum</t>
  </si>
  <si>
    <t>Resuspend cells to (OD600)</t>
  </si>
  <si>
    <t>Dilute 1:10, OD600 (in 1.3 mL)</t>
  </si>
  <si>
    <t>Volume cells (uL)</t>
  </si>
  <si>
    <t>Volume media (uL)</t>
  </si>
  <si>
    <t>For final vol 1.3 mL at 0.028</t>
  </si>
  <si>
    <t>Media (x2, uL)</t>
  </si>
  <si>
    <t>Cells (uL)</t>
  </si>
  <si>
    <r>
      <t>∆</t>
    </r>
    <r>
      <rPr>
        <b/>
        <i/>
        <sz val="12"/>
        <color theme="1"/>
        <rFont val="Calibri"/>
        <family val="2"/>
        <scheme val="minor"/>
      </rPr>
      <t>pigR</t>
    </r>
  </si>
  <si>
    <r>
      <t>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</si>
</sst>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7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wrapText="1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5303.300858899107</c:v>
                  </c:pt>
                  <c:pt idx="1">
                    <c:v>7071.067811865476</c:v>
                  </c:pt>
                  <c:pt idx="2">
                    <c:v>0</c:v>
                  </c:pt>
                  <c:pt idx="3">
                    <c:v>1767.7669529663608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5303.300858899107</c:v>
                  </c:pt>
                  <c:pt idx="1">
                    <c:v>7071.067811865476</c:v>
                  </c:pt>
                  <c:pt idx="2">
                    <c:v>0</c:v>
                  </c:pt>
                  <c:pt idx="3">
                    <c:v>1767.7669529663608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pmrAD51A</c:v>
                </c:pt>
                <c:pt idx="2">
                  <c:v>∆pmrA</c:v>
                </c:pt>
                <c:pt idx="3">
                  <c:v>∆pigR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108750</c:v>
                </c:pt>
                <c:pt idx="1">
                  <c:v>85000</c:v>
                </c:pt>
                <c:pt idx="2">
                  <c:v>0</c:v>
                </c:pt>
                <c:pt idx="3">
                  <c:v>71250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'T=2'!$L$3:$L$5</c:f>
                <c:numCache>
                  <c:formatCode>General</c:formatCode>
                  <c:ptCount val="3"/>
                  <c:pt idx="0">
                    <c:v>3.0550504633038948</c:v>
                  </c:pt>
                  <c:pt idx="1">
                    <c:v>2</c:v>
                  </c:pt>
                  <c:pt idx="2">
                    <c:v>3.0550504633038926</c:v>
                  </c:pt>
                </c:numCache>
              </c:numRef>
            </c:plus>
            <c:minus>
              <c:numRef>
                <c:f>'T=2'!$L$3:$L$5</c:f>
                <c:numCache>
                  <c:formatCode>General</c:formatCode>
                  <c:ptCount val="3"/>
                  <c:pt idx="0">
                    <c:v>3.0550504633038948</c:v>
                  </c:pt>
                  <c:pt idx="1">
                    <c:v>2</c:v>
                  </c:pt>
                  <c:pt idx="2">
                    <c:v>3.0550504633038926</c:v>
                  </c:pt>
                </c:numCache>
              </c:numRef>
            </c:minus>
          </c:errBars>
          <c:cat>
            <c:strRef>
              <c:f>'T=2'!$J$3:$J$7</c:f>
              <c:strCache>
                <c:ptCount val="3"/>
                <c:pt idx="0">
                  <c:v>LVS</c:v>
                </c:pt>
                <c:pt idx="1">
                  <c:v>pmrAD51A</c:v>
                </c:pt>
                <c:pt idx="2">
                  <c:v>∆pigR</c:v>
                </c:pt>
              </c:strCache>
            </c:strRef>
          </c:cat>
          <c:val>
            <c:numRef>
              <c:f>'T=2'!$K$3:$K$5</c:f>
              <c:numCache>
                <c:formatCode>0.00E+00</c:formatCode>
                <c:ptCount val="3"/>
                <c:pt idx="0">
                  <c:v>12.666666666666666</c:v>
                </c:pt>
                <c:pt idx="1">
                  <c:v>4</c:v>
                </c:pt>
                <c:pt idx="2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86664530305804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'T=24'!$O$3:$O$5</c:f>
                <c:numCache>
                  <c:formatCode>General</c:formatCode>
                  <c:ptCount val="3"/>
                  <c:pt idx="0">
                    <c:v>12619.429464123963</c:v>
                  </c:pt>
                  <c:pt idx="1">
                    <c:v>3453.0180036213724</c:v>
                  </c:pt>
                  <c:pt idx="2">
                    <c:v>1.1547005383792517</c:v>
                  </c:pt>
                </c:numCache>
              </c:numRef>
            </c:plus>
            <c:minus>
              <c:numRef>
                <c:f>'T=24'!$O$3:$O$5</c:f>
                <c:numCache>
                  <c:formatCode>General</c:formatCode>
                  <c:ptCount val="3"/>
                  <c:pt idx="0">
                    <c:v>12619.429464123963</c:v>
                  </c:pt>
                  <c:pt idx="1">
                    <c:v>3453.0180036213724</c:v>
                  </c:pt>
                  <c:pt idx="2">
                    <c:v>1.1547005383792517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pmrAD51A</c:v>
                </c:pt>
                <c:pt idx="2">
                  <c:v>∆pigR</c:v>
                </c:pt>
              </c:strCache>
            </c:strRef>
          </c:cat>
          <c:val>
            <c:numRef>
              <c:f>'T=24'!$N$3:$N$5</c:f>
              <c:numCache>
                <c:formatCode>0.00E+00</c:formatCode>
                <c:ptCount val="3"/>
                <c:pt idx="0">
                  <c:v>22500</c:v>
                </c:pt>
                <c:pt idx="1">
                  <c:v>7166.666666666667</c:v>
                </c:pt>
                <c:pt idx="2">
                  <c:v>1.3333333333333333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5</xdr:row>
      <xdr:rowOff>139700</xdr:rowOff>
    </xdr:from>
    <xdr:to>
      <xdr:col>15</xdr:col>
      <xdr:colOff>736600</xdr:colOff>
      <xdr:row>23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5</xdr:row>
      <xdr:rowOff>114300</xdr:rowOff>
    </xdr:from>
    <xdr:to>
      <xdr:col>19</xdr:col>
      <xdr:colOff>495300</xdr:colOff>
      <xdr:row>21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5"/>
  <sheetViews>
    <sheetView showRuler="0" topLeftCell="A4" zoomScale="125" zoomScaleNormal="125" zoomScalePageLayoutView="125" workbookViewId="0">
      <selection activeCell="P10" sqref="P10"/>
    </sheetView>
  </sheetViews>
  <sheetFormatPr baseColWidth="10" defaultRowHeight="16" x14ac:dyDescent="0.2"/>
  <cols>
    <col min="1" max="1" width="2.6640625" bestFit="1" customWidth="1"/>
    <col min="2" max="4" width="9.6640625" customWidth="1"/>
    <col min="5" max="5" width="4.33203125" customWidth="1"/>
    <col min="6" max="8" width="10.83203125" bestFit="1" customWidth="1"/>
    <col min="9" max="9" width="4.33203125" customWidth="1"/>
    <col min="10" max="10" width="9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5" customWidth="1"/>
    <col min="19" max="19" width="15.33203125" bestFit="1" customWidth="1"/>
    <col min="21" max="24" width="2.83203125" customWidth="1"/>
    <col min="28" max="28" width="8" bestFit="1" customWidth="1"/>
    <col min="29" max="29" width="8.83203125" customWidth="1"/>
    <col min="30" max="30" width="6.6640625" bestFit="1" customWidth="1"/>
    <col min="31" max="31" width="10.6640625" customWidth="1"/>
  </cols>
  <sheetData>
    <row r="1" spans="1:24" ht="17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75</v>
      </c>
      <c r="Q1" s="3"/>
    </row>
    <row r="2" spans="1:24" ht="17" x14ac:dyDescent="0.2">
      <c r="A2" s="4" t="s">
        <v>2</v>
      </c>
      <c r="B2" s="9" t="s">
        <v>30</v>
      </c>
      <c r="C2" s="9" t="s">
        <v>30</v>
      </c>
      <c r="D2" s="9" t="s">
        <v>30</v>
      </c>
      <c r="E2" s="6"/>
      <c r="F2" s="64" t="s">
        <v>95</v>
      </c>
      <c r="G2" s="64" t="s">
        <v>95</v>
      </c>
      <c r="H2" s="64" t="s">
        <v>95</v>
      </c>
      <c r="I2" s="5"/>
      <c r="J2" s="6" t="s">
        <v>69</v>
      </c>
      <c r="K2" s="6"/>
      <c r="L2" s="6"/>
      <c r="M2" s="6"/>
      <c r="O2" s="1" t="s">
        <v>4</v>
      </c>
      <c r="P2" s="7">
        <v>20000</v>
      </c>
      <c r="Q2" s="7"/>
      <c r="S2">
        <f>AVERAGE(24, 26, 34, 22, 25, 29, 25, 24)</f>
        <v>26.125</v>
      </c>
      <c r="T2" s="37" t="s">
        <v>97</v>
      </c>
      <c r="U2" s="66" t="s">
        <v>98</v>
      </c>
      <c r="V2" s="66"/>
      <c r="W2" s="66"/>
      <c r="X2" s="66"/>
    </row>
    <row r="3" spans="1:24" x14ac:dyDescent="0.2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1" t="s">
        <v>6</v>
      </c>
      <c r="P3" s="11">
        <v>0.2</v>
      </c>
      <c r="Q3" s="11"/>
      <c r="S3">
        <f>S2*2</f>
        <v>52.25</v>
      </c>
      <c r="T3" s="37">
        <v>1</v>
      </c>
      <c r="U3" s="1">
        <v>8</v>
      </c>
      <c r="V3" s="1">
        <v>2</v>
      </c>
      <c r="W3" s="1">
        <v>4</v>
      </c>
      <c r="X3" s="1">
        <v>1</v>
      </c>
    </row>
    <row r="4" spans="1:24" x14ac:dyDescent="0.2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/>
      <c r="T4" s="37">
        <v>2</v>
      </c>
      <c r="U4" s="1">
        <v>1</v>
      </c>
      <c r="V4" s="1">
        <v>2</v>
      </c>
      <c r="W4" s="1">
        <v>2</v>
      </c>
      <c r="X4" s="1">
        <v>2</v>
      </c>
    </row>
    <row r="5" spans="1:24" ht="17" x14ac:dyDescent="0.2">
      <c r="A5" s="4" t="s">
        <v>9</v>
      </c>
      <c r="B5" s="6" t="s">
        <v>74</v>
      </c>
      <c r="C5" s="6" t="s">
        <v>74</v>
      </c>
      <c r="D5" s="6" t="s">
        <v>74</v>
      </c>
      <c r="E5" s="9"/>
      <c r="F5" s="6" t="s">
        <v>94</v>
      </c>
      <c r="G5" s="6" t="s">
        <v>94</v>
      </c>
      <c r="H5" s="6" t="s">
        <v>94</v>
      </c>
      <c r="I5" s="9"/>
      <c r="J5" s="6" t="s">
        <v>3</v>
      </c>
      <c r="K5" s="6"/>
      <c r="M5" s="1"/>
      <c r="O5" s="1" t="s">
        <v>10</v>
      </c>
      <c r="P5" s="13">
        <v>7</v>
      </c>
      <c r="Q5" s="13"/>
      <c r="T5" s="37">
        <v>3</v>
      </c>
      <c r="U5" s="1">
        <v>2</v>
      </c>
      <c r="V5" s="1">
        <v>7</v>
      </c>
      <c r="W5" s="1">
        <v>5</v>
      </c>
      <c r="X5" s="1">
        <v>2</v>
      </c>
    </row>
    <row r="6" spans="1:24" x14ac:dyDescent="0.2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  <c r="O6" s="1" t="s">
        <v>12</v>
      </c>
      <c r="P6" s="7">
        <v>523000</v>
      </c>
      <c r="Q6" s="7"/>
      <c r="T6" s="37">
        <v>4</v>
      </c>
      <c r="U6" s="1">
        <v>1</v>
      </c>
      <c r="V6" s="1">
        <v>5</v>
      </c>
      <c r="W6" s="1">
        <v>7</v>
      </c>
      <c r="X6" s="1">
        <v>4</v>
      </c>
    </row>
    <row r="7" spans="1:24" x14ac:dyDescent="0.2">
      <c r="A7" s="4" t="s">
        <v>13</v>
      </c>
      <c r="B7" s="8"/>
      <c r="C7" s="10"/>
      <c r="D7" s="9"/>
      <c r="E7" s="10"/>
      <c r="F7" s="1"/>
      <c r="G7" s="17"/>
      <c r="H7" s="18"/>
      <c r="I7" s="17"/>
      <c r="J7" s="17"/>
      <c r="K7" s="17"/>
      <c r="L7" s="10"/>
      <c r="M7" s="1"/>
      <c r="O7" s="1" t="s">
        <v>14</v>
      </c>
      <c r="P7" s="39">
        <f>P4*P5/P6</f>
        <v>1.338432122370937</v>
      </c>
      <c r="Q7" s="39"/>
      <c r="R7" s="21"/>
      <c r="T7" s="37">
        <v>5</v>
      </c>
      <c r="U7" s="1">
        <v>3</v>
      </c>
      <c r="V7" s="1">
        <v>7</v>
      </c>
      <c r="W7" s="1">
        <v>3</v>
      </c>
      <c r="X7" s="1">
        <v>4</v>
      </c>
    </row>
    <row r="8" spans="1:24" x14ac:dyDescent="0.2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  <c r="O8" s="20" t="s">
        <v>16</v>
      </c>
      <c r="P8" s="39">
        <f>P5-P7</f>
        <v>5.6615678776290626</v>
      </c>
      <c r="Q8" s="39"/>
      <c r="T8" s="37">
        <v>6</v>
      </c>
      <c r="U8" s="1">
        <v>3</v>
      </c>
      <c r="V8" s="1">
        <v>6</v>
      </c>
      <c r="W8" s="1">
        <v>5</v>
      </c>
      <c r="X8" s="1">
        <v>8</v>
      </c>
    </row>
    <row r="9" spans="1:24" x14ac:dyDescent="0.2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  <c r="O9" s="20" t="s">
        <v>18</v>
      </c>
      <c r="P9" s="7">
        <f>AVERAGE(8,2,4,1,1,2,2,2,2,7,5,2,1,5,7,4,3,7,3,4,3,6,5,8)*10000*2</f>
        <v>78333.333333333328</v>
      </c>
      <c r="Q9" s="7"/>
      <c r="T9" s="1" t="s">
        <v>99</v>
      </c>
      <c r="U9" s="68">
        <f>AVERAGE(U3:X8)</f>
        <v>3.9166666666666665</v>
      </c>
      <c r="V9" s="68"/>
      <c r="W9" s="68"/>
      <c r="X9" s="68"/>
    </row>
    <row r="10" spans="1:24" x14ac:dyDescent="0.2">
      <c r="H10" s="21"/>
      <c r="O10" s="20" t="s">
        <v>19</v>
      </c>
      <c r="P10" s="7">
        <f>P9*0.2</f>
        <v>15666.666666666666</v>
      </c>
      <c r="Q10" s="7"/>
      <c r="T10" s="1" t="s">
        <v>100</v>
      </c>
      <c r="U10" s="67">
        <f>U9*2*10000</f>
        <v>78333.333333333328</v>
      </c>
      <c r="V10" s="67"/>
      <c r="W10" s="67"/>
      <c r="X10" s="67"/>
    </row>
    <row r="15" spans="1:24" x14ac:dyDescent="0.2">
      <c r="B15" s="22"/>
      <c r="C15" s="23"/>
      <c r="P15" t="s">
        <v>21</v>
      </c>
    </row>
    <row r="16" spans="1:24" ht="17" thickBot="1" x14ac:dyDescent="0.25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75</v>
      </c>
      <c r="Q16" s="3"/>
    </row>
    <row r="17" spans="1:33" ht="17" x14ac:dyDescent="0.2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64" t="s">
        <v>95</v>
      </c>
      <c r="G17" s="64" t="s">
        <v>95</v>
      </c>
      <c r="H17" s="64" t="s">
        <v>95</v>
      </c>
      <c r="I17" s="5"/>
      <c r="J17" s="6" t="s">
        <v>69</v>
      </c>
      <c r="K17" s="6"/>
      <c r="L17" s="6"/>
      <c r="M17" s="6"/>
      <c r="O17" s="1" t="s">
        <v>22</v>
      </c>
      <c r="P17" s="25">
        <v>5</v>
      </c>
      <c r="Q17" s="25"/>
    </row>
    <row r="18" spans="1:33" x14ac:dyDescent="0.2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26">
        <f>P10</f>
        <v>15666.666666666666</v>
      </c>
      <c r="Q18" s="26"/>
    </row>
    <row r="19" spans="1:33" x14ac:dyDescent="0.2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25">
        <v>0.05</v>
      </c>
      <c r="Q19" s="25"/>
    </row>
    <row r="20" spans="1:33" ht="16" customHeight="1" x14ac:dyDescent="0.2">
      <c r="A20" s="4" t="s">
        <v>9</v>
      </c>
      <c r="B20" s="6" t="s">
        <v>74</v>
      </c>
      <c r="C20" s="6" t="s">
        <v>74</v>
      </c>
      <c r="D20" s="6" t="s">
        <v>74</v>
      </c>
      <c r="E20" s="9"/>
      <c r="F20" s="6" t="s">
        <v>94</v>
      </c>
      <c r="G20" s="6" t="s">
        <v>94</v>
      </c>
      <c r="H20" s="6" t="s">
        <v>94</v>
      </c>
      <c r="I20" s="9"/>
      <c r="J20" s="6" t="s">
        <v>3</v>
      </c>
      <c r="K20" s="6"/>
      <c r="M20" s="1"/>
      <c r="O20" s="27" t="s">
        <v>25</v>
      </c>
      <c r="P20" s="26">
        <f>(P18*P17/P19)</f>
        <v>1566666.6666666665</v>
      </c>
      <c r="Q20" s="26"/>
    </row>
    <row r="21" spans="1:33" x14ac:dyDescent="0.2">
      <c r="A21" s="4" t="s">
        <v>11</v>
      </c>
      <c r="B21" s="14"/>
      <c r="C21" s="12"/>
      <c r="D21" s="15"/>
      <c r="E21" s="10"/>
      <c r="F21" s="16"/>
      <c r="G21" s="16"/>
      <c r="H21" s="16"/>
      <c r="I21" s="10"/>
      <c r="J21" s="10"/>
      <c r="K21" s="10"/>
      <c r="L21" s="10"/>
      <c r="M21" s="1"/>
      <c r="O21" s="1" t="s">
        <v>26</v>
      </c>
      <c r="P21" s="26">
        <v>5810000000</v>
      </c>
      <c r="Q21" s="26"/>
    </row>
    <row r="22" spans="1:33" x14ac:dyDescent="0.2">
      <c r="A22" s="4" t="s">
        <v>13</v>
      </c>
      <c r="B22" s="8"/>
      <c r="C22" s="10"/>
      <c r="D22" s="9"/>
      <c r="E22" s="10"/>
      <c r="F22" s="1"/>
      <c r="G22" s="55"/>
      <c r="H22" s="18"/>
      <c r="I22" s="55"/>
      <c r="J22" s="55"/>
      <c r="K22" s="55"/>
      <c r="L22" s="10"/>
      <c r="M22" s="1"/>
      <c r="O22" s="1" t="s">
        <v>27</v>
      </c>
      <c r="P22" s="28">
        <f>P20/P21</f>
        <v>2.6965002868617325E-4</v>
      </c>
      <c r="Q22" s="28"/>
    </row>
    <row r="23" spans="1:33" x14ac:dyDescent="0.2">
      <c r="A23" s="4" t="s">
        <v>15</v>
      </c>
      <c r="B23" s="14"/>
      <c r="C23" s="12"/>
      <c r="D23" s="15"/>
      <c r="E23" s="15"/>
      <c r="F23" s="15"/>
      <c r="G23" s="15"/>
      <c r="H23" s="16"/>
      <c r="I23" s="1"/>
      <c r="J23" s="16"/>
      <c r="K23" s="16"/>
      <c r="L23" s="16"/>
      <c r="M23" s="16"/>
      <c r="O23" s="1" t="s">
        <v>28</v>
      </c>
      <c r="P23" s="29">
        <v>2.8000000000000001E-2</v>
      </c>
      <c r="Q23" s="29"/>
    </row>
    <row r="24" spans="1:33" x14ac:dyDescent="0.2">
      <c r="A24" s="4" t="s">
        <v>17</v>
      </c>
      <c r="B24" s="14"/>
      <c r="C24" s="12"/>
      <c r="D24" s="15"/>
      <c r="E24" s="1"/>
      <c r="F24" s="1"/>
      <c r="G24" s="1"/>
      <c r="H24" s="7"/>
      <c r="I24" s="1"/>
      <c r="J24" s="1"/>
      <c r="K24" s="1"/>
      <c r="L24" s="1"/>
      <c r="M24" s="1"/>
      <c r="O24" s="20" t="s">
        <v>29</v>
      </c>
      <c r="P24" s="1">
        <f>P23/100</f>
        <v>2.8000000000000003E-4</v>
      </c>
      <c r="Q24" s="1"/>
    </row>
    <row r="25" spans="1:33" x14ac:dyDescent="0.2">
      <c r="B25" s="22"/>
      <c r="C25" s="23"/>
      <c r="P25" s="30"/>
    </row>
    <row r="26" spans="1:33" ht="17" x14ac:dyDescent="0.2">
      <c r="C26" s="23"/>
      <c r="G26" s="17">
        <v>1</v>
      </c>
      <c r="H26" s="9" t="s">
        <v>30</v>
      </c>
    </row>
    <row r="27" spans="1:33" ht="17" x14ac:dyDescent="0.2">
      <c r="G27" s="17">
        <v>2</v>
      </c>
      <c r="H27" s="64" t="s">
        <v>95</v>
      </c>
    </row>
    <row r="28" spans="1:33" ht="17" x14ac:dyDescent="0.2">
      <c r="G28" s="17">
        <v>3</v>
      </c>
      <c r="H28" s="6" t="s">
        <v>74</v>
      </c>
    </row>
    <row r="29" spans="1:33" ht="17" x14ac:dyDescent="0.2">
      <c r="G29" s="17">
        <v>4</v>
      </c>
      <c r="H29" s="6" t="s">
        <v>94</v>
      </c>
      <c r="R29" s="21"/>
    </row>
    <row r="30" spans="1:33" ht="34" customHeight="1" x14ac:dyDescent="0.2">
      <c r="AB30" s="69" t="s">
        <v>109</v>
      </c>
      <c r="AC30" s="69"/>
      <c r="AF30" s="69" t="s">
        <v>104</v>
      </c>
      <c r="AG30" s="69"/>
    </row>
    <row r="31" spans="1:33" ht="51" x14ac:dyDescent="0.2">
      <c r="Y31" s="55" t="s">
        <v>101</v>
      </c>
      <c r="Z31" s="55" t="s">
        <v>102</v>
      </c>
      <c r="AA31" s="16" t="s">
        <v>105</v>
      </c>
      <c r="AB31" s="16" t="s">
        <v>111</v>
      </c>
      <c r="AC31" s="16" t="s">
        <v>110</v>
      </c>
      <c r="AD31" s="16" t="s">
        <v>103</v>
      </c>
      <c r="AE31" s="16" t="s">
        <v>106</v>
      </c>
      <c r="AF31" s="16" t="s">
        <v>107</v>
      </c>
      <c r="AG31" s="16" t="s">
        <v>108</v>
      </c>
    </row>
    <row r="32" spans="1:33" ht="17" x14ac:dyDescent="0.2">
      <c r="Y32" s="55">
        <v>1</v>
      </c>
      <c r="Z32" s="9" t="s">
        <v>30</v>
      </c>
      <c r="AA32" s="1">
        <v>0.20499999999999999</v>
      </c>
      <c r="AB32" s="1">
        <v>177.6</v>
      </c>
      <c r="AC32" s="1">
        <v>561</v>
      </c>
      <c r="AD32" s="1">
        <v>0.26700000000000002</v>
      </c>
      <c r="AE32" s="1">
        <v>2.3E-2</v>
      </c>
      <c r="AF32" s="1">
        <v>12.2</v>
      </c>
      <c r="AG32" s="1">
        <f>1000-AF32</f>
        <v>987.8</v>
      </c>
    </row>
    <row r="33" spans="25:33" ht="17" x14ac:dyDescent="0.2">
      <c r="Y33" s="55">
        <v>2</v>
      </c>
      <c r="Z33" s="64" t="s">
        <v>95</v>
      </c>
      <c r="AA33" s="1">
        <v>0.18</v>
      </c>
      <c r="AB33" s="1">
        <v>202</v>
      </c>
      <c r="AC33" s="1">
        <v>549</v>
      </c>
      <c r="AD33" s="1">
        <v>0.27300000000000002</v>
      </c>
      <c r="AE33" s="1">
        <v>2.7E-2</v>
      </c>
      <c r="AF33" s="1">
        <v>9.6</v>
      </c>
      <c r="AG33" s="1">
        <f t="shared" ref="AG33:AG35" si="0">1000-AF33</f>
        <v>990.4</v>
      </c>
    </row>
    <row r="34" spans="25:33" ht="17" x14ac:dyDescent="0.2">
      <c r="Y34" s="55">
        <v>3</v>
      </c>
      <c r="Z34" s="9" t="s">
        <v>74</v>
      </c>
      <c r="AA34" s="1">
        <v>0.29299999999999998</v>
      </c>
      <c r="AB34" s="1">
        <v>124</v>
      </c>
      <c r="AC34" s="1">
        <v>588</v>
      </c>
      <c r="AD34" s="1">
        <v>0.27100000000000002</v>
      </c>
      <c r="AE34" s="1">
        <v>2.1000000000000001E-2</v>
      </c>
      <c r="AF34" s="1">
        <v>13.3</v>
      </c>
      <c r="AG34" s="1">
        <f t="shared" si="0"/>
        <v>986.7</v>
      </c>
    </row>
    <row r="35" spans="25:33" ht="17" x14ac:dyDescent="0.2">
      <c r="Y35" s="55">
        <v>4</v>
      </c>
      <c r="Z35" s="9" t="s">
        <v>94</v>
      </c>
      <c r="AA35" s="1">
        <v>0.247</v>
      </c>
      <c r="AB35" s="1">
        <v>147</v>
      </c>
      <c r="AC35" s="1">
        <v>576</v>
      </c>
      <c r="AD35" s="1">
        <v>0.26800000000000002</v>
      </c>
      <c r="AE35" s="1">
        <v>0.02</v>
      </c>
      <c r="AF35" s="1">
        <v>14</v>
      </c>
      <c r="AG35" s="1">
        <f t="shared" si="0"/>
        <v>986</v>
      </c>
    </row>
  </sheetData>
  <mergeCells count="5">
    <mergeCell ref="U2:X2"/>
    <mergeCell ref="U10:X10"/>
    <mergeCell ref="U9:X9"/>
    <mergeCell ref="AF30:AG30"/>
    <mergeCell ref="AB30:AC30"/>
  </mergeCells>
  <phoneticPr fontId="4" type="noConversion"/>
  <pageMargins left="0.75" right="0.75" top="1" bottom="1" header="0.5" footer="0.5"/>
  <pageSetup scale="40" orientation="landscape" horizontalDpi="4294967292" verticalDpi="429496729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B8" sqref="B8"/>
    </sheetView>
  </sheetViews>
  <sheetFormatPr baseColWidth="10" defaultRowHeight="16" x14ac:dyDescent="0.2"/>
  <cols>
    <col min="1" max="1" width="34.6640625" bestFit="1" customWidth="1"/>
    <col min="4" max="4" width="70.83203125" customWidth="1"/>
  </cols>
  <sheetData>
    <row r="1" spans="1:4" x14ac:dyDescent="0.2">
      <c r="B1" s="70" t="s">
        <v>78</v>
      </c>
      <c r="C1" s="70"/>
    </row>
    <row r="2" spans="1:4" x14ac:dyDescent="0.2">
      <c r="A2" s="31" t="s">
        <v>93</v>
      </c>
      <c r="B2" s="60" t="s">
        <v>80</v>
      </c>
      <c r="C2" s="60" t="s">
        <v>81</v>
      </c>
      <c r="D2" s="31" t="s">
        <v>84</v>
      </c>
    </row>
    <row r="3" spans="1:4" x14ac:dyDescent="0.2">
      <c r="A3" s="1" t="s">
        <v>79</v>
      </c>
      <c r="B3" s="25">
        <v>8</v>
      </c>
      <c r="C3" s="61"/>
      <c r="D3" s="1" t="s">
        <v>85</v>
      </c>
    </row>
    <row r="4" spans="1:4" x14ac:dyDescent="0.2">
      <c r="A4" s="1" t="s">
        <v>82</v>
      </c>
      <c r="B4" s="25">
        <v>0</v>
      </c>
      <c r="C4" s="61">
        <v>8</v>
      </c>
      <c r="D4" s="1" t="s">
        <v>86</v>
      </c>
    </row>
    <row r="5" spans="1:4" x14ac:dyDescent="0.2">
      <c r="A5" s="1" t="s">
        <v>83</v>
      </c>
      <c r="B5" s="25">
        <v>26</v>
      </c>
      <c r="C5" s="61"/>
      <c r="D5" s="1" t="s">
        <v>87</v>
      </c>
    </row>
    <row r="6" spans="1:4" ht="34" x14ac:dyDescent="0.2">
      <c r="A6" s="1" t="s">
        <v>88</v>
      </c>
      <c r="B6" s="25">
        <v>12</v>
      </c>
      <c r="C6" s="61">
        <v>12</v>
      </c>
      <c r="D6" s="27" t="s">
        <v>96</v>
      </c>
    </row>
    <row r="7" spans="1:4" x14ac:dyDescent="0.2">
      <c r="A7" s="31" t="s">
        <v>89</v>
      </c>
      <c r="B7" s="46">
        <f>SUM(B3:B6)</f>
        <v>46</v>
      </c>
      <c r="C7" s="63">
        <f>SUM(C3:C6)</f>
        <v>20</v>
      </c>
      <c r="D7" s="1"/>
    </row>
    <row r="8" spans="1:4" x14ac:dyDescent="0.2">
      <c r="A8" s="1" t="s">
        <v>90</v>
      </c>
      <c r="B8" s="25">
        <f>B7/25</f>
        <v>1.84</v>
      </c>
      <c r="C8" s="61">
        <f>C7/20</f>
        <v>1</v>
      </c>
      <c r="D8" s="1" t="s">
        <v>92</v>
      </c>
    </row>
    <row r="9" spans="1:4" x14ac:dyDescent="0.2">
      <c r="A9" s="31" t="s">
        <v>91</v>
      </c>
      <c r="B9" s="46">
        <f>SUM(B8:C8)</f>
        <v>2.84</v>
      </c>
      <c r="C9" s="62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Ruler="0" workbookViewId="0">
      <selection activeCell="M16" sqref="M16"/>
    </sheetView>
  </sheetViews>
  <sheetFormatPr baseColWidth="10" defaultRowHeight="16" x14ac:dyDescent="0.2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2">
      <c r="A1" s="31" t="s">
        <v>31</v>
      </c>
      <c r="B1" s="32"/>
      <c r="C1" s="74"/>
      <c r="D1" s="74"/>
      <c r="E1" s="74"/>
      <c r="F1" s="74"/>
      <c r="G1" s="22"/>
      <c r="H1" s="22"/>
      <c r="I1" s="22"/>
      <c r="J1" s="22"/>
      <c r="K1" s="22"/>
      <c r="L1" s="22"/>
      <c r="M1" s="22"/>
      <c r="N1" s="22"/>
    </row>
    <row r="2" spans="1:14" ht="51" x14ac:dyDescent="0.2">
      <c r="A2" s="31"/>
      <c r="B2" s="33" t="s">
        <v>32</v>
      </c>
      <c r="C2" s="31">
        <v>1</v>
      </c>
      <c r="D2" s="31">
        <v>2</v>
      </c>
      <c r="E2" s="34">
        <v>3</v>
      </c>
      <c r="F2" s="31">
        <v>4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49</v>
      </c>
      <c r="L2" s="35" t="s">
        <v>36</v>
      </c>
      <c r="M2" s="36" t="s">
        <v>76</v>
      </c>
    </row>
    <row r="3" spans="1:14" x14ac:dyDescent="0.2">
      <c r="A3" s="73" t="s">
        <v>30</v>
      </c>
      <c r="B3" s="37" t="s">
        <v>38</v>
      </c>
      <c r="C3" s="25" t="s">
        <v>39</v>
      </c>
      <c r="D3" s="25" t="s">
        <v>39</v>
      </c>
      <c r="E3" s="25" t="s">
        <v>39</v>
      </c>
      <c r="F3" s="38">
        <v>42</v>
      </c>
      <c r="G3" s="25">
        <v>1E-3</v>
      </c>
      <c r="H3" s="26">
        <f>F3/(G3*0.02)</f>
        <v>2100000</v>
      </c>
      <c r="I3" s="7">
        <f>AVERAGE(H3:H4)</f>
        <v>2175000</v>
      </c>
      <c r="J3" s="7">
        <f>STDEV(H3:H4)</f>
        <v>106066.01717798212</v>
      </c>
      <c r="K3" s="7">
        <f>I3*0.05</f>
        <v>108750</v>
      </c>
      <c r="L3" s="7">
        <f>J3*0.05</f>
        <v>5303.300858899107</v>
      </c>
      <c r="M3" s="39">
        <f>K3/15700</f>
        <v>6.9267515923566876</v>
      </c>
    </row>
    <row r="4" spans="1:14" x14ac:dyDescent="0.2">
      <c r="A4" s="73"/>
      <c r="B4" s="37" t="s">
        <v>41</v>
      </c>
      <c r="C4" s="25" t="s">
        <v>39</v>
      </c>
      <c r="D4" s="25" t="s">
        <v>39</v>
      </c>
      <c r="E4" s="25" t="s">
        <v>39</v>
      </c>
      <c r="F4" s="38">
        <v>45</v>
      </c>
      <c r="G4" s="25">
        <v>1E-3</v>
      </c>
      <c r="H4" s="26">
        <f t="shared" ref="H4:H10" si="0">F4/(G4*0.02)</f>
        <v>2250000</v>
      </c>
      <c r="I4" s="40"/>
      <c r="J4" s="40"/>
      <c r="K4" s="7"/>
      <c r="L4" s="7"/>
      <c r="M4" s="39"/>
    </row>
    <row r="5" spans="1:14" x14ac:dyDescent="0.2">
      <c r="A5" s="71" t="s">
        <v>95</v>
      </c>
      <c r="B5" s="41" t="s">
        <v>42</v>
      </c>
      <c r="C5" s="25" t="s">
        <v>39</v>
      </c>
      <c r="D5" s="25" t="s">
        <v>39</v>
      </c>
      <c r="E5" s="25" t="s">
        <v>39</v>
      </c>
      <c r="F5" s="38">
        <v>36</v>
      </c>
      <c r="G5" s="25">
        <v>1E-3</v>
      </c>
      <c r="H5" s="26">
        <f t="shared" si="0"/>
        <v>1799999.9999999998</v>
      </c>
      <c r="I5" s="7">
        <f>AVERAGE(H5:H6)</f>
        <v>1699999.9999999998</v>
      </c>
      <c r="J5" s="7">
        <f>STDEV(H5:H6)</f>
        <v>141421.35623730952</v>
      </c>
      <c r="K5" s="7">
        <f>I5*0.05</f>
        <v>85000</v>
      </c>
      <c r="L5" s="7">
        <f>J5*0.05</f>
        <v>7071.067811865476</v>
      </c>
      <c r="M5" s="39">
        <f>K5/15700</f>
        <v>5.4140127388535033</v>
      </c>
    </row>
    <row r="6" spans="1:14" x14ac:dyDescent="0.2">
      <c r="A6" s="72"/>
      <c r="B6" s="41" t="s">
        <v>43</v>
      </c>
      <c r="C6" s="25" t="s">
        <v>39</v>
      </c>
      <c r="D6" s="25" t="s">
        <v>39</v>
      </c>
      <c r="E6" s="25" t="s">
        <v>39</v>
      </c>
      <c r="F6" s="38">
        <v>32</v>
      </c>
      <c r="G6" s="25">
        <v>1E-3</v>
      </c>
      <c r="H6" s="26">
        <f t="shared" si="0"/>
        <v>1599999.9999999998</v>
      </c>
      <c r="I6" s="40"/>
      <c r="J6" s="40"/>
      <c r="K6" s="7"/>
      <c r="L6" s="7"/>
      <c r="M6" s="39"/>
    </row>
    <row r="7" spans="1:14" x14ac:dyDescent="0.2">
      <c r="A7" s="72" t="s">
        <v>77</v>
      </c>
      <c r="B7" s="41" t="s">
        <v>44</v>
      </c>
      <c r="C7" s="25"/>
      <c r="D7" s="25"/>
      <c r="E7" s="25"/>
      <c r="F7" s="38"/>
      <c r="G7" s="25">
        <v>1E-3</v>
      </c>
      <c r="H7" s="26">
        <f t="shared" si="0"/>
        <v>0</v>
      </c>
      <c r="I7" s="7">
        <f>AVERAGE(H7:H8)</f>
        <v>0</v>
      </c>
      <c r="J7" s="7">
        <f>STDEV(H7:H8)</f>
        <v>0</v>
      </c>
      <c r="K7" s="7">
        <f>I7*0.05</f>
        <v>0</v>
      </c>
      <c r="L7" s="7">
        <f>J7*0.05</f>
        <v>0</v>
      </c>
      <c r="M7" s="39">
        <f>K7/15700</f>
        <v>0</v>
      </c>
    </row>
    <row r="8" spans="1:14" x14ac:dyDescent="0.2">
      <c r="A8" s="72"/>
      <c r="B8" s="41" t="s">
        <v>45</v>
      </c>
      <c r="C8" s="25"/>
      <c r="D8" s="25"/>
      <c r="E8" s="25"/>
      <c r="F8" s="38"/>
      <c r="G8" s="25">
        <v>1E-3</v>
      </c>
      <c r="H8" s="26">
        <f t="shared" si="0"/>
        <v>0</v>
      </c>
      <c r="I8" s="40"/>
      <c r="J8" s="40"/>
      <c r="K8" s="7"/>
      <c r="L8" s="7"/>
      <c r="M8" s="39"/>
    </row>
    <row r="9" spans="1:14" ht="16" customHeight="1" x14ac:dyDescent="0.2">
      <c r="A9" s="72" t="s">
        <v>112</v>
      </c>
      <c r="B9" s="41" t="s">
        <v>46</v>
      </c>
      <c r="C9" s="25" t="s">
        <v>39</v>
      </c>
      <c r="D9" s="25" t="s">
        <v>39</v>
      </c>
      <c r="E9" s="25" t="s">
        <v>39</v>
      </c>
      <c r="F9" s="38">
        <v>29</v>
      </c>
      <c r="G9" s="25">
        <v>1E-3</v>
      </c>
      <c r="H9" s="26">
        <f t="shared" si="0"/>
        <v>1449999.9999999998</v>
      </c>
      <c r="I9" s="7">
        <f>AVERAGE(H9:H10)</f>
        <v>1425000</v>
      </c>
      <c r="J9" s="7">
        <f>STDEV(H9:H10)</f>
        <v>35355.339059327212</v>
      </c>
      <c r="K9" s="7">
        <f>I9*0.05</f>
        <v>71250</v>
      </c>
      <c r="L9" s="7">
        <f>J9*0.05</f>
        <v>1767.7669529663608</v>
      </c>
      <c r="M9" s="39">
        <f>K9/15700</f>
        <v>4.5382165605095546</v>
      </c>
    </row>
    <row r="10" spans="1:14" x14ac:dyDescent="0.2">
      <c r="A10" s="72"/>
      <c r="B10" s="41" t="s">
        <v>47</v>
      </c>
      <c r="C10" s="25" t="s">
        <v>39</v>
      </c>
      <c r="D10" s="25" t="s">
        <v>39</v>
      </c>
      <c r="E10" s="25" t="s">
        <v>39</v>
      </c>
      <c r="F10" s="38">
        <v>28</v>
      </c>
      <c r="G10" s="25">
        <v>1E-3</v>
      </c>
      <c r="H10" s="26">
        <f t="shared" si="0"/>
        <v>1400000</v>
      </c>
      <c r="I10" s="40"/>
      <c r="J10" s="40"/>
      <c r="K10" s="7"/>
      <c r="L10" s="7"/>
      <c r="M10" s="39"/>
    </row>
    <row r="11" spans="1:14" x14ac:dyDescent="0.2">
      <c r="A11" s="1" t="s">
        <v>48</v>
      </c>
      <c r="B11" s="1"/>
      <c r="C11" s="1">
        <v>1</v>
      </c>
      <c r="D11" s="1">
        <f>C11/10</f>
        <v>0.1</v>
      </c>
      <c r="E11" s="1">
        <f t="shared" ref="E11:F11" si="1">D11/10</f>
        <v>0.01</v>
      </c>
      <c r="F11" s="1">
        <f t="shared" si="1"/>
        <v>1E-3</v>
      </c>
    </row>
    <row r="13" spans="1:14" x14ac:dyDescent="0.2">
      <c r="A13" s="1"/>
      <c r="B13" s="1" t="s">
        <v>49</v>
      </c>
      <c r="C13" s="1" t="s">
        <v>36</v>
      </c>
    </row>
    <row r="14" spans="1:14" ht="17" x14ac:dyDescent="0.2">
      <c r="A14" s="9" t="s">
        <v>30</v>
      </c>
      <c r="B14" s="7">
        <f>K3</f>
        <v>108750</v>
      </c>
      <c r="C14" s="7">
        <f>L3</f>
        <v>5303.300858899107</v>
      </c>
    </row>
    <row r="15" spans="1:14" ht="17" x14ac:dyDescent="0.2">
      <c r="A15" s="64" t="s">
        <v>95</v>
      </c>
      <c r="B15" s="7">
        <f>K5</f>
        <v>85000</v>
      </c>
      <c r="C15" s="7">
        <f>L5</f>
        <v>7071.067811865476</v>
      </c>
    </row>
    <row r="16" spans="1:14" ht="17" x14ac:dyDescent="0.2">
      <c r="A16" s="6" t="s">
        <v>74</v>
      </c>
      <c r="B16" s="7">
        <f>K7</f>
        <v>0</v>
      </c>
      <c r="C16" s="7">
        <f>L7</f>
        <v>0</v>
      </c>
    </row>
    <row r="17" spans="1:3" ht="17" x14ac:dyDescent="0.2">
      <c r="A17" s="6" t="s">
        <v>94</v>
      </c>
      <c r="B17" s="7">
        <f>K9</f>
        <v>71250</v>
      </c>
      <c r="C17" s="7">
        <f>L9</f>
        <v>1767.7669529663608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5"/>
  <sheetViews>
    <sheetView showRuler="0" workbookViewId="0">
      <selection activeCell="I31" sqref="I31"/>
    </sheetView>
  </sheetViews>
  <sheetFormatPr baseColWidth="10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2">
      <c r="A1" s="42"/>
      <c r="B1" s="42"/>
      <c r="C1" s="22"/>
      <c r="E1" s="43"/>
      <c r="F1" s="43"/>
      <c r="G1" s="32"/>
      <c r="H1" s="54"/>
      <c r="I1" s="32"/>
      <c r="J1" s="44"/>
      <c r="K1" s="44"/>
      <c r="L1" s="45"/>
      <c r="M1" s="45"/>
    </row>
    <row r="2" spans="1:25" ht="51" x14ac:dyDescent="0.2">
      <c r="A2" s="31"/>
      <c r="B2" s="56" t="s">
        <v>50</v>
      </c>
      <c r="C2" s="56" t="s">
        <v>51</v>
      </c>
      <c r="D2" s="56" t="s">
        <v>52</v>
      </c>
      <c r="E2" s="24" t="s">
        <v>33</v>
      </c>
      <c r="F2" s="24" t="s">
        <v>53</v>
      </c>
      <c r="G2" s="24" t="s">
        <v>37</v>
      </c>
      <c r="H2" s="24" t="s">
        <v>62</v>
      </c>
      <c r="J2" s="1"/>
      <c r="K2" s="35" t="s">
        <v>54</v>
      </c>
      <c r="L2" s="31" t="s">
        <v>55</v>
      </c>
      <c r="M2" s="78" t="s">
        <v>56</v>
      </c>
      <c r="N2" s="50" t="s">
        <v>62</v>
      </c>
      <c r="O2" s="24" t="s">
        <v>63</v>
      </c>
    </row>
    <row r="3" spans="1:25" ht="17" x14ac:dyDescent="0.2">
      <c r="A3" s="75" t="s">
        <v>30</v>
      </c>
      <c r="B3" s="53" t="s">
        <v>38</v>
      </c>
      <c r="C3" s="46">
        <v>2</v>
      </c>
      <c r="D3" s="46">
        <v>6</v>
      </c>
      <c r="E3" s="25">
        <v>1</v>
      </c>
      <c r="F3" s="40">
        <f t="shared" ref="F3:F11" si="0">AVERAGE(C3,D3)</f>
        <v>4</v>
      </c>
      <c r="G3" s="7">
        <f t="shared" ref="G3:G11" si="1">(F3/(0.05*E3))*0.2</f>
        <v>16</v>
      </c>
      <c r="H3" s="76">
        <f>TTEST(G3:G5,G3:G5,2,2)</f>
        <v>1</v>
      </c>
      <c r="I3" s="21"/>
      <c r="J3" s="9" t="s">
        <v>30</v>
      </c>
      <c r="K3" s="7">
        <f>AVERAGE(G3:G5)</f>
        <v>12.666666666666666</v>
      </c>
      <c r="L3" s="7">
        <f>STDEV(G3:G5)</f>
        <v>3.0550504633038948</v>
      </c>
      <c r="M3" s="39">
        <v>6.9267515923566876</v>
      </c>
      <c r="N3" s="1"/>
      <c r="O3" s="19">
        <f>IF(K3/$K$3&gt;=1,K3/$K$3,-$K$3/K3)</f>
        <v>1</v>
      </c>
      <c r="R3" s="21"/>
      <c r="T3" s="21"/>
      <c r="U3" s="21"/>
      <c r="V3" s="21"/>
      <c r="W3" s="21"/>
      <c r="X3" s="21"/>
      <c r="Y3" s="21"/>
    </row>
    <row r="4" spans="1:25" ht="17" x14ac:dyDescent="0.2">
      <c r="A4" s="75"/>
      <c r="B4" s="53" t="s">
        <v>41</v>
      </c>
      <c r="C4" s="46">
        <v>4</v>
      </c>
      <c r="D4" s="46">
        <v>1</v>
      </c>
      <c r="E4" s="25">
        <v>1</v>
      </c>
      <c r="F4" s="40">
        <f t="shared" si="0"/>
        <v>2.5</v>
      </c>
      <c r="G4" s="7">
        <f t="shared" si="1"/>
        <v>10</v>
      </c>
      <c r="H4" s="76"/>
      <c r="J4" s="64" t="s">
        <v>95</v>
      </c>
      <c r="K4" s="7">
        <f>AVERAGE(G6:G8)</f>
        <v>4</v>
      </c>
      <c r="L4" s="7">
        <f>STDEV(G6:G8)</f>
        <v>2</v>
      </c>
      <c r="M4" s="39">
        <v>5.4140127388535033</v>
      </c>
      <c r="N4" s="29">
        <f>TTEST(G3:G5,G6:G8,2,2)</f>
        <v>1.4720593813730023E-2</v>
      </c>
      <c r="O4" s="19">
        <f>IF(K4/$K$3&gt;=1,K4/$K$3,-$K$3/K4)</f>
        <v>-3.1666666666666665</v>
      </c>
    </row>
    <row r="5" spans="1:25" ht="17" x14ac:dyDescent="0.2">
      <c r="A5" s="75"/>
      <c r="B5" s="53" t="s">
        <v>64</v>
      </c>
      <c r="C5" s="46">
        <v>3</v>
      </c>
      <c r="D5" s="46">
        <v>3</v>
      </c>
      <c r="E5" s="25">
        <v>1</v>
      </c>
      <c r="F5" s="40">
        <f t="shared" si="0"/>
        <v>3</v>
      </c>
      <c r="G5" s="7">
        <f t="shared" si="1"/>
        <v>12</v>
      </c>
      <c r="H5" s="76"/>
      <c r="J5" s="6" t="s">
        <v>94</v>
      </c>
      <c r="K5" s="7">
        <f>AVERAGE(G9:G11)</f>
        <v>6.666666666666667</v>
      </c>
      <c r="L5" s="7">
        <f>STDEV(G9:G11)</f>
        <v>3.0550504633038926</v>
      </c>
      <c r="M5" s="39">
        <v>4.5382165605095546</v>
      </c>
      <c r="N5" s="29">
        <f>TTEST(G3:G5,G9:G11,2,2)</f>
        <v>7.3926188533291984E-2</v>
      </c>
      <c r="O5" s="19">
        <f>IF(K5/$K$3&gt;=1,K5/$K$3,-$K$3/K5)</f>
        <v>-1.9</v>
      </c>
    </row>
    <row r="6" spans="1:25" ht="15" customHeight="1" x14ac:dyDescent="0.2">
      <c r="A6" s="71" t="s">
        <v>95</v>
      </c>
      <c r="B6" s="53" t="s">
        <v>42</v>
      </c>
      <c r="C6" s="46">
        <v>0</v>
      </c>
      <c r="D6" s="46">
        <v>3</v>
      </c>
      <c r="E6" s="25">
        <v>1</v>
      </c>
      <c r="F6" s="1">
        <f t="shared" si="0"/>
        <v>1.5</v>
      </c>
      <c r="G6" s="7">
        <f t="shared" si="1"/>
        <v>6</v>
      </c>
      <c r="H6" s="76">
        <f>TTEST(G6:G8,G3:G5,2,2)</f>
        <v>1.4720593813730023E-2</v>
      </c>
    </row>
    <row r="7" spans="1:25" ht="15" customHeight="1" x14ac:dyDescent="0.2">
      <c r="A7" s="72"/>
      <c r="B7" s="53" t="s">
        <v>43</v>
      </c>
      <c r="C7" s="46">
        <v>1</v>
      </c>
      <c r="D7" s="46">
        <v>0</v>
      </c>
      <c r="E7" s="25">
        <v>1</v>
      </c>
      <c r="F7" s="1">
        <f t="shared" si="0"/>
        <v>0.5</v>
      </c>
      <c r="G7" s="7">
        <f t="shared" si="1"/>
        <v>2</v>
      </c>
      <c r="H7" s="76"/>
    </row>
    <row r="8" spans="1:25" x14ac:dyDescent="0.2">
      <c r="A8" s="72"/>
      <c r="B8" s="53" t="s">
        <v>66</v>
      </c>
      <c r="C8" s="46">
        <v>0</v>
      </c>
      <c r="D8" s="46">
        <v>2</v>
      </c>
      <c r="E8" s="25">
        <v>1</v>
      </c>
      <c r="F8" s="1">
        <f t="shared" si="0"/>
        <v>1</v>
      </c>
      <c r="G8" s="7">
        <f t="shared" si="1"/>
        <v>4</v>
      </c>
      <c r="H8" s="76"/>
      <c r="J8" s="21"/>
    </row>
    <row r="9" spans="1:25" x14ac:dyDescent="0.2">
      <c r="A9" s="72" t="s">
        <v>112</v>
      </c>
      <c r="B9" s="53" t="s">
        <v>46</v>
      </c>
      <c r="C9" s="46">
        <v>4</v>
      </c>
      <c r="D9" s="46">
        <v>1</v>
      </c>
      <c r="E9" s="25">
        <v>1</v>
      </c>
      <c r="F9" s="1">
        <f t="shared" si="0"/>
        <v>2.5</v>
      </c>
      <c r="G9" s="7">
        <f t="shared" si="1"/>
        <v>10</v>
      </c>
      <c r="H9" s="76">
        <f>TTEST(G9:G11,G3:G5,2,2)</f>
        <v>7.3926188533291984E-2</v>
      </c>
    </row>
    <row r="10" spans="1:25" ht="15" customHeight="1" x14ac:dyDescent="0.2">
      <c r="A10" s="72"/>
      <c r="B10" s="53" t="s">
        <v>47</v>
      </c>
      <c r="C10" s="46">
        <v>0</v>
      </c>
      <c r="D10" s="46">
        <v>2</v>
      </c>
      <c r="E10" s="25">
        <v>1</v>
      </c>
      <c r="F10" s="1">
        <f t="shared" si="0"/>
        <v>1</v>
      </c>
      <c r="G10" s="7">
        <f>(F10/(0.05*E10))*0.2</f>
        <v>4</v>
      </c>
      <c r="H10" s="76"/>
    </row>
    <row r="11" spans="1:25" x14ac:dyDescent="0.2">
      <c r="A11" s="72"/>
      <c r="B11" s="53" t="s">
        <v>65</v>
      </c>
      <c r="C11" s="46">
        <v>2</v>
      </c>
      <c r="D11" s="46">
        <v>1</v>
      </c>
      <c r="E11" s="25">
        <v>1</v>
      </c>
      <c r="F11" s="1">
        <f t="shared" si="0"/>
        <v>1.5</v>
      </c>
      <c r="G11" s="7">
        <f t="shared" si="1"/>
        <v>6</v>
      </c>
      <c r="H11" s="76"/>
    </row>
    <row r="12" spans="1:25" x14ac:dyDescent="0.2">
      <c r="A12" s="47" t="s">
        <v>72</v>
      </c>
      <c r="B12" s="53"/>
      <c r="C12" s="25">
        <v>0</v>
      </c>
      <c r="D12" s="25">
        <v>0</v>
      </c>
      <c r="E12" s="25"/>
      <c r="F12" s="1" t="s">
        <v>40</v>
      </c>
      <c r="G12" s="7" t="s">
        <v>40</v>
      </c>
    </row>
    <row r="13" spans="1:25" x14ac:dyDescent="0.2">
      <c r="A13" s="47" t="s">
        <v>73</v>
      </c>
      <c r="B13" s="53"/>
      <c r="C13" s="25">
        <v>0</v>
      </c>
      <c r="D13" s="25">
        <v>0</v>
      </c>
      <c r="E13" s="25"/>
      <c r="F13" s="1" t="s">
        <v>40</v>
      </c>
      <c r="G13" s="7" t="s">
        <v>40</v>
      </c>
      <c r="H13" s="52"/>
    </row>
    <row r="14" spans="1:25" x14ac:dyDescent="0.2">
      <c r="A14" s="57" t="s">
        <v>57</v>
      </c>
      <c r="H14" s="52"/>
    </row>
    <row r="15" spans="1:25" x14ac:dyDescent="0.2">
      <c r="A15" s="57" t="s">
        <v>58</v>
      </c>
    </row>
  </sheetData>
  <mergeCells count="6">
    <mergeCell ref="A3:A5"/>
    <mergeCell ref="A6:A8"/>
    <mergeCell ref="A9:A11"/>
    <mergeCell ref="H6:H8"/>
    <mergeCell ref="H9:H11"/>
    <mergeCell ref="H3:H5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3"/>
  <sheetViews>
    <sheetView tabSelected="1" showRuler="0" workbookViewId="0">
      <selection activeCell="U20" sqref="U20"/>
    </sheetView>
  </sheetViews>
  <sheetFormatPr baseColWidth="10" defaultRowHeight="16" x14ac:dyDescent="0.2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17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</cols>
  <sheetData>
    <row r="1" spans="1:20" x14ac:dyDescent="0.2">
      <c r="A1" s="42" t="s">
        <v>0</v>
      </c>
      <c r="B1" s="42"/>
      <c r="C1" s="70" t="s">
        <v>59</v>
      </c>
      <c r="D1" s="70"/>
      <c r="E1" s="70"/>
      <c r="F1" s="70" t="s">
        <v>60</v>
      </c>
      <c r="G1" s="70"/>
      <c r="H1" s="70"/>
    </row>
    <row r="2" spans="1:20" ht="51" x14ac:dyDescent="0.2">
      <c r="A2" s="31"/>
      <c r="B2" s="31" t="s">
        <v>50</v>
      </c>
      <c r="C2" s="31">
        <v>1</v>
      </c>
      <c r="D2" s="31">
        <v>2</v>
      </c>
      <c r="E2" s="34">
        <v>3</v>
      </c>
      <c r="F2" s="31">
        <v>1</v>
      </c>
      <c r="G2" s="31">
        <v>2</v>
      </c>
      <c r="H2" s="34">
        <v>3</v>
      </c>
      <c r="I2" s="78" t="s">
        <v>33</v>
      </c>
      <c r="J2" s="35" t="s">
        <v>53</v>
      </c>
      <c r="K2" s="35" t="s">
        <v>37</v>
      </c>
      <c r="L2" s="51"/>
      <c r="M2" s="1"/>
      <c r="N2" s="35" t="s">
        <v>54</v>
      </c>
      <c r="O2" s="31" t="s">
        <v>55</v>
      </c>
      <c r="P2" s="78" t="s">
        <v>56</v>
      </c>
      <c r="Q2" s="24" t="s">
        <v>71</v>
      </c>
      <c r="R2" s="24" t="s">
        <v>63</v>
      </c>
    </row>
    <row r="3" spans="1:20" ht="17" x14ac:dyDescent="0.2">
      <c r="A3" s="75" t="s">
        <v>30</v>
      </c>
      <c r="B3" s="55" t="s">
        <v>38</v>
      </c>
      <c r="C3" s="25" t="s">
        <v>39</v>
      </c>
      <c r="D3" s="46">
        <v>74</v>
      </c>
      <c r="E3" s="46" t="s">
        <v>40</v>
      </c>
      <c r="F3" s="25" t="s">
        <v>39</v>
      </c>
      <c r="G3" s="46">
        <v>66</v>
      </c>
      <c r="H3" s="46" t="s">
        <v>40</v>
      </c>
      <c r="I3" s="25">
        <v>0.1</v>
      </c>
      <c r="J3" s="40">
        <f>AVERAGE(D3,G3)</f>
        <v>70</v>
      </c>
      <c r="K3" s="7">
        <f>(J3/(0.01*I3))*0.2</f>
        <v>14000</v>
      </c>
      <c r="L3" s="52"/>
      <c r="M3" s="9" t="s">
        <v>30</v>
      </c>
      <c r="N3" s="7">
        <f>AVERAGE(K3:K5)</f>
        <v>22500</v>
      </c>
      <c r="O3" s="7">
        <f>STDEV(K3:K5)</f>
        <v>12619.429464123963</v>
      </c>
      <c r="P3" s="39">
        <v>6.9267515923566876</v>
      </c>
      <c r="Q3" s="1"/>
      <c r="R3" s="19">
        <f>IF(N3/$N$3&gt;=1,N3/$N$3,-$N$3/N3)</f>
        <v>1</v>
      </c>
    </row>
    <row r="4" spans="1:20" ht="17" x14ac:dyDescent="0.2">
      <c r="A4" s="75"/>
      <c r="B4" s="55" t="s">
        <v>41</v>
      </c>
      <c r="C4" s="48" t="s">
        <v>39</v>
      </c>
      <c r="D4" s="48" t="s">
        <v>39</v>
      </c>
      <c r="E4" s="46">
        <v>18</v>
      </c>
      <c r="F4" s="48" t="s">
        <v>39</v>
      </c>
      <c r="G4" s="48" t="s">
        <v>39</v>
      </c>
      <c r="H4" s="46">
        <v>19</v>
      </c>
      <c r="I4" s="25">
        <v>0.01</v>
      </c>
      <c r="J4" s="40">
        <f>AVERAGE(E4,H4)</f>
        <v>18.5</v>
      </c>
      <c r="K4" s="7">
        <f t="shared" ref="K4:K5" si="0">(J4/(0.01*I4))*0.2</f>
        <v>37000</v>
      </c>
      <c r="L4" s="52"/>
      <c r="M4" s="64" t="s">
        <v>95</v>
      </c>
      <c r="N4" s="7">
        <f>AVERAGE(K6:K8)</f>
        <v>7166.666666666667</v>
      </c>
      <c r="O4" s="7">
        <f>STDEV(K6:K8)</f>
        <v>3453.0180036213724</v>
      </c>
      <c r="P4" s="39">
        <v>5.4140127388535033</v>
      </c>
      <c r="Q4" s="29">
        <f>TTEST(K3:K5,K6:K8,2,2)</f>
        <v>0.11222278139623397</v>
      </c>
      <c r="R4" s="19">
        <f>IF(N4/$N$3&gt;=1,N4/$N$3,-$N$3/N4)</f>
        <v>-3.13953488372093</v>
      </c>
    </row>
    <row r="5" spans="1:20" ht="17" x14ac:dyDescent="0.2">
      <c r="A5" s="75"/>
      <c r="B5" s="55" t="s">
        <v>64</v>
      </c>
      <c r="C5" s="48" t="s">
        <v>39</v>
      </c>
      <c r="D5" s="46">
        <v>82</v>
      </c>
      <c r="E5" s="46" t="s">
        <v>40</v>
      </c>
      <c r="F5" s="48" t="s">
        <v>39</v>
      </c>
      <c r="G5" s="46">
        <v>83</v>
      </c>
      <c r="H5" s="46">
        <v>16</v>
      </c>
      <c r="I5" s="25">
        <v>0.1</v>
      </c>
      <c r="J5" s="40">
        <f>AVERAGE(D5,G5)</f>
        <v>82.5</v>
      </c>
      <c r="K5" s="7">
        <f t="shared" si="0"/>
        <v>16500</v>
      </c>
      <c r="L5" s="52"/>
      <c r="M5" s="6" t="s">
        <v>94</v>
      </c>
      <c r="N5" s="7">
        <f>AVERAGE(K9:K11)</f>
        <v>1.3333333333333333</v>
      </c>
      <c r="O5" s="7">
        <f>STDEV(K9:K11)</f>
        <v>1.1547005383792517</v>
      </c>
      <c r="P5" s="39">
        <v>4.5382165605095546</v>
      </c>
      <c r="Q5" s="29">
        <f>TTEST(K3:K5,K9:K11,2,2)</f>
        <v>3.6645356759156172E-2</v>
      </c>
      <c r="R5" s="40">
        <f>IF(N5/$N$3&gt;=1,N5/$N$3,-$N$3/N5)</f>
        <v>-16875</v>
      </c>
      <c r="T5" s="21"/>
    </row>
    <row r="6" spans="1:20" x14ac:dyDescent="0.2">
      <c r="A6" s="71" t="s">
        <v>95</v>
      </c>
      <c r="B6" s="55" t="s">
        <v>42</v>
      </c>
      <c r="C6" s="48" t="s">
        <v>39</v>
      </c>
      <c r="D6" s="46">
        <v>14</v>
      </c>
      <c r="E6" s="46" t="s">
        <v>40</v>
      </c>
      <c r="F6" s="48" t="s">
        <v>39</v>
      </c>
      <c r="G6" s="46">
        <v>24</v>
      </c>
      <c r="H6" s="46" t="s">
        <v>40</v>
      </c>
      <c r="I6" s="25">
        <v>0.1</v>
      </c>
      <c r="J6" s="40">
        <f t="shared" ref="J6:J8" si="1">AVERAGE(D6,G6)</f>
        <v>19</v>
      </c>
      <c r="K6" s="7">
        <f t="shared" ref="K6:K8" si="2">(J6/(0.01*I6))*0.2</f>
        <v>3800</v>
      </c>
      <c r="L6" s="52"/>
      <c r="R6" s="65"/>
    </row>
    <row r="7" spans="1:20" ht="15" customHeight="1" x14ac:dyDescent="0.2">
      <c r="A7" s="72"/>
      <c r="B7" s="55" t="s">
        <v>43</v>
      </c>
      <c r="C7" s="48" t="s">
        <v>39</v>
      </c>
      <c r="D7" s="46">
        <v>39</v>
      </c>
      <c r="E7" s="46" t="s">
        <v>40</v>
      </c>
      <c r="F7" s="48" t="s">
        <v>39</v>
      </c>
      <c r="G7" s="46">
        <v>31</v>
      </c>
      <c r="H7" s="46" t="s">
        <v>40</v>
      </c>
      <c r="I7" s="25">
        <v>0.1</v>
      </c>
      <c r="J7" s="40">
        <f t="shared" si="1"/>
        <v>35</v>
      </c>
      <c r="K7" s="7">
        <f>(J7/(0.01*I7))*0.2</f>
        <v>7000</v>
      </c>
      <c r="L7" s="52"/>
      <c r="R7" s="65"/>
    </row>
    <row r="8" spans="1:20" ht="15" customHeight="1" x14ac:dyDescent="0.2">
      <c r="A8" s="72"/>
      <c r="B8" s="55" t="s">
        <v>66</v>
      </c>
      <c r="C8" s="48" t="s">
        <v>39</v>
      </c>
      <c r="D8" s="46">
        <v>64</v>
      </c>
      <c r="E8" s="46" t="s">
        <v>40</v>
      </c>
      <c r="F8" s="48" t="s">
        <v>39</v>
      </c>
      <c r="G8" s="46">
        <v>43</v>
      </c>
      <c r="H8" s="46">
        <v>8</v>
      </c>
      <c r="I8" s="25">
        <v>0.1</v>
      </c>
      <c r="J8" s="40">
        <f t="shared" si="1"/>
        <v>53.5</v>
      </c>
      <c r="K8" s="7">
        <f t="shared" si="2"/>
        <v>10700</v>
      </c>
      <c r="L8" s="52"/>
      <c r="R8" s="65"/>
    </row>
    <row r="9" spans="1:20" ht="16" customHeight="1" x14ac:dyDescent="0.2">
      <c r="A9" s="72" t="s">
        <v>113</v>
      </c>
      <c r="B9" s="55" t="s">
        <v>46</v>
      </c>
      <c r="C9" s="46">
        <v>0</v>
      </c>
      <c r="D9" s="25"/>
      <c r="E9" s="46"/>
      <c r="F9" s="58">
        <v>0</v>
      </c>
      <c r="G9" s="25"/>
      <c r="H9" s="46"/>
      <c r="I9" s="25">
        <v>1</v>
      </c>
      <c r="J9" s="1">
        <f>AVERAGE(C9,F9)</f>
        <v>0</v>
      </c>
      <c r="K9" s="7">
        <f>(J9/(0.05*I9))*0.2</f>
        <v>0</v>
      </c>
      <c r="L9" s="52"/>
    </row>
    <row r="10" spans="1:20" ht="15" customHeight="1" x14ac:dyDescent="0.2">
      <c r="A10" s="72"/>
      <c r="B10" s="55" t="s">
        <v>47</v>
      </c>
      <c r="C10" s="46">
        <v>0</v>
      </c>
      <c r="D10" s="25"/>
      <c r="E10" s="46"/>
      <c r="F10" s="46">
        <v>1</v>
      </c>
      <c r="G10" s="25"/>
      <c r="H10" s="46"/>
      <c r="I10" s="25">
        <v>1</v>
      </c>
      <c r="J10" s="1">
        <f>AVERAGE(C10,F10)</f>
        <v>0.5</v>
      </c>
      <c r="K10" s="7">
        <f>(J10/(0.05*I10))*0.2</f>
        <v>2</v>
      </c>
      <c r="L10" s="52"/>
    </row>
    <row r="11" spans="1:20" x14ac:dyDescent="0.2">
      <c r="A11" s="72"/>
      <c r="B11" s="55" t="s">
        <v>65</v>
      </c>
      <c r="C11" s="46">
        <v>1</v>
      </c>
      <c r="D11" s="46"/>
      <c r="E11" s="46"/>
      <c r="F11" s="46">
        <v>0</v>
      </c>
      <c r="G11" s="46"/>
      <c r="H11" s="46"/>
      <c r="I11" s="25">
        <v>1</v>
      </c>
      <c r="J11" s="1">
        <f>AVERAGE(C11,F11)</f>
        <v>0.5</v>
      </c>
      <c r="K11" s="7">
        <f>(J11/(0.05*I11))*0.2</f>
        <v>2</v>
      </c>
      <c r="L11" s="52"/>
    </row>
    <row r="12" spans="1:20" x14ac:dyDescent="0.2">
      <c r="A12" s="59" t="s">
        <v>67</v>
      </c>
      <c r="B12" s="55"/>
      <c r="C12" s="25">
        <v>0</v>
      </c>
      <c r="D12" s="25" t="s">
        <v>40</v>
      </c>
      <c r="E12" s="25" t="s">
        <v>40</v>
      </c>
      <c r="F12" s="25" t="s">
        <v>40</v>
      </c>
      <c r="G12" s="25" t="s">
        <v>40</v>
      </c>
      <c r="H12" s="25" t="s">
        <v>40</v>
      </c>
      <c r="I12" s="49">
        <v>1</v>
      </c>
      <c r="J12" s="40">
        <f>AVERAGE(C12)</f>
        <v>0</v>
      </c>
      <c r="K12" s="7">
        <f>(J12/(0.1*I12))*0.2</f>
        <v>0</v>
      </c>
      <c r="L12" s="52"/>
    </row>
    <row r="13" spans="1:20" x14ac:dyDescent="0.2">
      <c r="A13" s="59" t="s">
        <v>68</v>
      </c>
      <c r="B13" s="55"/>
      <c r="C13" s="25">
        <v>0</v>
      </c>
      <c r="D13" s="25" t="s">
        <v>40</v>
      </c>
      <c r="E13" s="25" t="s">
        <v>40</v>
      </c>
      <c r="F13" s="25" t="s">
        <v>40</v>
      </c>
      <c r="G13" s="25" t="s">
        <v>40</v>
      </c>
      <c r="H13" s="25" t="s">
        <v>40</v>
      </c>
      <c r="I13" s="49">
        <v>1</v>
      </c>
      <c r="J13" s="40">
        <f>AVERAGE(C13)</f>
        <v>0</v>
      </c>
      <c r="K13" s="7">
        <f>(J13/(0.1*I13))*0.2</f>
        <v>0</v>
      </c>
      <c r="L13" s="52"/>
    </row>
    <row r="14" spans="1:20" x14ac:dyDescent="0.2">
      <c r="A14" s="1" t="s">
        <v>48</v>
      </c>
      <c r="B14" s="1"/>
      <c r="C14" s="1">
        <v>1</v>
      </c>
      <c r="D14" s="1">
        <f>C14/10</f>
        <v>0.1</v>
      </c>
      <c r="E14" s="1">
        <f>D14/10</f>
        <v>0.01</v>
      </c>
      <c r="F14" s="1">
        <v>1</v>
      </c>
      <c r="G14" s="1">
        <f>F14/10</f>
        <v>0.1</v>
      </c>
      <c r="H14" s="1">
        <f>G14/10</f>
        <v>0.01</v>
      </c>
      <c r="K14" s="21"/>
      <c r="L14" s="21"/>
    </row>
    <row r="15" spans="1:20" x14ac:dyDescent="0.2">
      <c r="A15" s="77" t="s">
        <v>70</v>
      </c>
      <c r="B15" s="77"/>
      <c r="C15" s="77"/>
    </row>
    <row r="16" spans="1:20" x14ac:dyDescent="0.2">
      <c r="A16" s="77" t="s">
        <v>61</v>
      </c>
      <c r="B16" s="77"/>
      <c r="C16" s="77"/>
      <c r="D16" s="57"/>
    </row>
    <row r="22" spans="8:8" x14ac:dyDescent="0.2">
      <c r="H22" s="21"/>
    </row>
    <row r="23" spans="8:8" x14ac:dyDescent="0.2">
      <c r="H23" s="21"/>
    </row>
  </sheetData>
  <mergeCells count="7">
    <mergeCell ref="A16:C16"/>
    <mergeCell ref="A15:C15"/>
    <mergeCell ref="A9:A11"/>
    <mergeCell ref="C1:E1"/>
    <mergeCell ref="F1:H1"/>
    <mergeCell ref="A3:A5"/>
    <mergeCell ref="A6:A8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ExperimentalSetup</vt:lpstr>
      <vt:lpstr>Plate Needs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Ramsey</cp:lastModifiedBy>
  <cp:lastPrinted>2019-03-06T13:35:32Z</cp:lastPrinted>
  <dcterms:created xsi:type="dcterms:W3CDTF">2016-02-15T21:32:37Z</dcterms:created>
  <dcterms:modified xsi:type="dcterms:W3CDTF">2019-03-12T21:51:36Z</dcterms:modified>
</cp:coreProperties>
</file>