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Data/"/>
    </mc:Choice>
  </mc:AlternateContent>
  <xr:revisionPtr revIDLastSave="0" documentId="13_ncr:1_{38CFB052-EE49-294C-B233-2DD9F65F17DB}" xr6:coauthVersionLast="45" xr6:coauthVersionMax="45" xr10:uidLastSave="{00000000-0000-0000-0000-000000000000}"/>
  <bookViews>
    <workbookView xWindow="380" yWindow="460" windowWidth="28040" windowHeight="16040" activeTab="5" xr2:uid="{59ED4FFD-E31D-FD41-89EC-1DA056A2FCE3}"/>
  </bookViews>
  <sheets>
    <sheet name="LVS" sheetId="1" r:id="rId1"/>
    <sheet name="LVS (2)" sheetId="4" r:id="rId2"/>
    <sheet name="LVS (3)" sheetId="5" r:id="rId3"/>
    <sheet name="Fno" sheetId="3" r:id="rId4"/>
    <sheet name="RNA_conc" sheetId="2" r:id="rId5"/>
    <sheet name="Sample_Submission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6" l="1"/>
  <c r="E4" i="6"/>
  <c r="E5" i="6"/>
  <c r="E2" i="6"/>
  <c r="E12" i="2"/>
  <c r="E9" i="2"/>
  <c r="E6" i="2"/>
  <c r="E3" i="2"/>
  <c r="S13" i="5" l="1"/>
  <c r="T12" i="5"/>
  <c r="I12" i="5"/>
  <c r="Q1" i="3"/>
  <c r="S8" i="3" s="1"/>
  <c r="R4" i="3"/>
  <c r="R11" i="3" s="1"/>
  <c r="R9" i="3"/>
  <c r="R8" i="3"/>
  <c r="R7" i="3"/>
  <c r="R6" i="3"/>
  <c r="R5" i="3"/>
  <c r="P2" i="5"/>
  <c r="Q10" i="5"/>
  <c r="U10" i="5" s="1"/>
  <c r="Q9" i="5"/>
  <c r="U9" i="5" s="1"/>
  <c r="Q8" i="5"/>
  <c r="Q7" i="5"/>
  <c r="Q6" i="5"/>
  <c r="U6" i="5" s="1"/>
  <c r="Q5" i="5"/>
  <c r="U5" i="5" s="1"/>
  <c r="M2" i="5"/>
  <c r="N6" i="5"/>
  <c r="N7" i="5"/>
  <c r="N8" i="5"/>
  <c r="N9" i="5"/>
  <c r="N10" i="5"/>
  <c r="N5" i="5"/>
  <c r="O12" i="3"/>
  <c r="O11" i="3"/>
  <c r="O5" i="3"/>
  <c r="O6" i="3"/>
  <c r="O7" i="3"/>
  <c r="O8" i="3"/>
  <c r="O9" i="3"/>
  <c r="O4" i="3"/>
  <c r="S5" i="3" l="1"/>
  <c r="S6" i="3"/>
  <c r="S7" i="3"/>
  <c r="R12" i="3"/>
  <c r="S4" i="3"/>
  <c r="U12" i="5"/>
  <c r="R10" i="5"/>
  <c r="N12" i="5"/>
  <c r="Q12" i="5"/>
  <c r="Q13" i="5"/>
  <c r="N13" i="5"/>
  <c r="U7" i="5"/>
  <c r="U8" i="5"/>
  <c r="U13" i="5" s="1"/>
  <c r="S9" i="3"/>
  <c r="R6" i="5"/>
  <c r="R7" i="5"/>
  <c r="R8" i="5"/>
  <c r="R9" i="5"/>
  <c r="R5" i="5"/>
  <c r="I13" i="5"/>
  <c r="J2" i="5"/>
  <c r="K6" i="5"/>
  <c r="O6" i="5" s="1"/>
  <c r="K7" i="5"/>
  <c r="O7" i="5" s="1"/>
  <c r="K8" i="5"/>
  <c r="O8" i="5" s="1"/>
  <c r="K9" i="5"/>
  <c r="O9" i="5" s="1"/>
  <c r="K10" i="5"/>
  <c r="O10" i="5" s="1"/>
  <c r="K5" i="5"/>
  <c r="O5" i="5" s="1"/>
  <c r="J12" i="3"/>
  <c r="J11" i="3"/>
  <c r="K1" i="3"/>
  <c r="M4" i="3" s="1"/>
  <c r="L5" i="3"/>
  <c r="L11" i="3" s="1"/>
  <c r="L6" i="3"/>
  <c r="P6" i="3" s="1"/>
  <c r="L7" i="3"/>
  <c r="P7" i="3" s="1"/>
  <c r="L8" i="3"/>
  <c r="P8" i="3" s="1"/>
  <c r="L9" i="3"/>
  <c r="P9" i="3" s="1"/>
  <c r="L4" i="3"/>
  <c r="P4" i="3" s="1"/>
  <c r="G31" i="1"/>
  <c r="E13" i="3"/>
  <c r="G13" i="3" s="1"/>
  <c r="E14" i="3"/>
  <c r="E15" i="3"/>
  <c r="E16" i="3"/>
  <c r="G16" i="3" s="1"/>
  <c r="E17" i="3"/>
  <c r="G17" i="3" s="1"/>
  <c r="E12" i="3"/>
  <c r="C13" i="3"/>
  <c r="C14" i="3"/>
  <c r="C15" i="3"/>
  <c r="C16" i="3"/>
  <c r="C17" i="3"/>
  <c r="C12" i="3"/>
  <c r="G12" i="3" s="1"/>
  <c r="P11" i="3" l="1"/>
  <c r="M9" i="3"/>
  <c r="L12" i="3"/>
  <c r="M8" i="3"/>
  <c r="S11" i="3"/>
  <c r="M7" i="3"/>
  <c r="P12" i="3"/>
  <c r="M6" i="3"/>
  <c r="S12" i="3"/>
  <c r="G14" i="3"/>
  <c r="M5" i="3"/>
  <c r="P5" i="3"/>
  <c r="L6" i="5"/>
  <c r="O12" i="5"/>
  <c r="K12" i="5"/>
  <c r="L5" i="5"/>
  <c r="K13" i="5"/>
  <c r="L10" i="5"/>
  <c r="L9" i="5"/>
  <c r="R12" i="5"/>
  <c r="L8" i="5"/>
  <c r="O13" i="5"/>
  <c r="L7" i="5"/>
  <c r="R13" i="5"/>
  <c r="G15" i="3"/>
  <c r="D6" i="5"/>
  <c r="E6" i="5" s="1"/>
  <c r="D5" i="5"/>
  <c r="E5" i="5" s="1"/>
  <c r="M12" i="3" l="1"/>
  <c r="M11" i="3"/>
  <c r="L13" i="5"/>
  <c r="L12" i="5"/>
  <c r="F9" i="4"/>
  <c r="F10" i="4" l="1"/>
  <c r="F6" i="4"/>
  <c r="F7" i="4"/>
  <c r="F5" i="4"/>
  <c r="E7" i="4"/>
  <c r="E6" i="4"/>
  <c r="E5" i="4"/>
  <c r="H5" i="4"/>
  <c r="H7" i="4"/>
  <c r="H6" i="4"/>
  <c r="D6" i="4"/>
  <c r="D7" i="4"/>
  <c r="D5" i="4"/>
  <c r="K13" i="4"/>
  <c r="H39" i="4" s="1"/>
  <c r="J13" i="4"/>
  <c r="G39" i="4" s="1"/>
  <c r="D6" i="3"/>
  <c r="E6" i="3" s="1"/>
  <c r="D4" i="3"/>
  <c r="E4" i="3" s="1"/>
  <c r="H34" i="1"/>
  <c r="H35" i="1"/>
  <c r="H33" i="1"/>
  <c r="H32" i="1"/>
  <c r="H18" i="1" s="1"/>
  <c r="H31" i="1"/>
  <c r="H9" i="1"/>
  <c r="H36" i="1" s="1"/>
  <c r="G35" i="1"/>
  <c r="G34" i="1"/>
  <c r="G32" i="1"/>
  <c r="G33" i="1"/>
  <c r="G9" i="1"/>
  <c r="G36" i="1" s="1"/>
  <c r="H34" i="4" l="1"/>
  <c r="H37" i="4"/>
  <c r="G36" i="4"/>
  <c r="H36" i="4"/>
  <c r="G37" i="4"/>
  <c r="G34" i="4"/>
  <c r="G38" i="4"/>
  <c r="H38" i="4"/>
  <c r="G35" i="4"/>
  <c r="H35" i="4"/>
  <c r="G18" i="1"/>
  <c r="H19" i="1"/>
  <c r="G19" i="1"/>
  <c r="K23" i="4" l="1"/>
  <c r="J23" i="4"/>
  <c r="K22" i="4"/>
  <c r="J22" i="4"/>
  <c r="D6" i="1"/>
  <c r="D5" i="1"/>
  <c r="E6" i="1" l="1"/>
  <c r="E5" i="1"/>
</calcChain>
</file>

<file path=xl/sharedStrings.xml><?xml version="1.0" encoding="utf-8"?>
<sst xmlns="http://schemas.openxmlformats.org/spreadsheetml/2006/main" count="180" uniqueCount="84">
  <si>
    <t>Number</t>
  </si>
  <si>
    <t>Strain</t>
  </si>
  <si>
    <t>Measured OD600</t>
  </si>
  <si>
    <t>Actual OD600</t>
  </si>
  <si>
    <t>LVS ∆pmrA (old)</t>
  </si>
  <si>
    <t>LVS ∆pmrA (new)</t>
  </si>
  <si>
    <t>F. noatunensis WT</t>
  </si>
  <si>
    <t>F. noatunensis ∆dotU</t>
  </si>
  <si>
    <t>1A</t>
  </si>
  <si>
    <t>1B</t>
  </si>
  <si>
    <t>1C</t>
  </si>
  <si>
    <t>2A</t>
  </si>
  <si>
    <t>2C</t>
  </si>
  <si>
    <t>2B</t>
  </si>
  <si>
    <t>3A</t>
  </si>
  <si>
    <t>3B</t>
  </si>
  <si>
    <t>3C</t>
  </si>
  <si>
    <t>4A</t>
  </si>
  <si>
    <t>4B</t>
  </si>
  <si>
    <t>4C</t>
  </si>
  <si>
    <t>doubling time</t>
  </si>
  <si>
    <t>Volume for 0.08 in 21 mL (uL)</t>
  </si>
  <si>
    <t>9:30AM</t>
  </si>
  <si>
    <t>Elapsed time</t>
  </si>
  <si>
    <t>Doubling time</t>
  </si>
  <si>
    <t>2PM</t>
  </si>
  <si>
    <t>Average Doubling times</t>
  </si>
  <si>
    <t>Volume for 0.005 or 0.05 in 21 mL (uL)</t>
  </si>
  <si>
    <t>3 A-C</t>
  </si>
  <si>
    <t>4 A-C</t>
  </si>
  <si>
    <t>LVS</t>
  </si>
  <si>
    <t>Volume for 0.004 in 21 mL (uL)</t>
  </si>
  <si>
    <t>Volume for 0.4 in 1.4 mL (uL)</t>
  </si>
  <si>
    <t>Volume MHB</t>
  </si>
  <si>
    <t>4:50PM</t>
  </si>
  <si>
    <t>LVS, plated 11/13</t>
  </si>
  <si>
    <t>LVS ∆pmrA (new), plated 11/11</t>
  </si>
  <si>
    <t>LVS ∆pmrA (old), plated 11/11</t>
  </si>
  <si>
    <t>adjustment</t>
  </si>
  <si>
    <t>3D</t>
  </si>
  <si>
    <t>3E</t>
  </si>
  <si>
    <t>3F</t>
  </si>
  <si>
    <t>4D</t>
  </si>
  <si>
    <t>4E</t>
  </si>
  <si>
    <t>4F</t>
  </si>
  <si>
    <t>6:55AM</t>
  </si>
  <si>
    <t>7:15AM</t>
  </si>
  <si>
    <t>7:20AM</t>
  </si>
  <si>
    <t>LVS ∆pmrA (old), plated 11/14</t>
  </si>
  <si>
    <t>LVS ∆pmrA (new), plated 11/14</t>
  </si>
  <si>
    <t>Measured OD</t>
  </si>
  <si>
    <t>Actual OD</t>
  </si>
  <si>
    <t>measured OD</t>
  </si>
  <si>
    <t xml:space="preserve">Doubling time </t>
  </si>
  <si>
    <t>Averages</t>
  </si>
  <si>
    <t>WT</t>
  </si>
  <si>
    <t>∆dotU</t>
  </si>
  <si>
    <t>9:40AM</t>
  </si>
  <si>
    <t>∆pmrA (old)</t>
  </si>
  <si>
    <t>∆pmrA (new)</t>
  </si>
  <si>
    <t>9:50AM</t>
  </si>
  <si>
    <t>12PM</t>
  </si>
  <si>
    <t>12:05PM</t>
  </si>
  <si>
    <t>1:40PM</t>
  </si>
  <si>
    <t>1:50PM</t>
  </si>
  <si>
    <t>3PM</t>
  </si>
  <si>
    <t>Time</t>
  </si>
  <si>
    <t>Minutes elapsed</t>
  </si>
  <si>
    <t xml:space="preserve">before DNase (ng/ul) </t>
  </si>
  <si>
    <t>Purified (ng/ul)</t>
  </si>
  <si>
    <t>Tube label</t>
  </si>
  <si>
    <t>KMR1</t>
  </si>
  <si>
    <t>KMR2</t>
  </si>
  <si>
    <t>KMR3</t>
  </si>
  <si>
    <t>KMR4</t>
  </si>
  <si>
    <t>Contents</t>
  </si>
  <si>
    <t>[RNA] (ng/uL)</t>
  </si>
  <si>
    <t>KMR sample number</t>
  </si>
  <si>
    <t>Volume (uL)</t>
  </si>
  <si>
    <t>Total RNA (ng)</t>
  </si>
  <si>
    <r>
      <rPr>
        <i/>
        <sz val="8"/>
        <color theme="1"/>
        <rFont val="Arial"/>
        <family val="2"/>
      </rPr>
      <t>Francisella tularensis</t>
    </r>
    <r>
      <rPr>
        <sz val="8"/>
        <color theme="1"/>
        <rFont val="Arial"/>
        <family val="2"/>
      </rPr>
      <t xml:space="preserve"> LVS ∆</t>
    </r>
    <r>
      <rPr>
        <i/>
        <sz val="8"/>
        <color theme="1"/>
        <rFont val="Arial"/>
        <family val="2"/>
      </rPr>
      <t>pmrA</t>
    </r>
    <r>
      <rPr>
        <sz val="8"/>
        <color theme="1"/>
        <rFont val="Arial"/>
        <family val="2"/>
      </rPr>
      <t xml:space="preserve"> suppressor</t>
    </r>
  </si>
  <si>
    <r>
      <rPr>
        <i/>
        <sz val="8"/>
        <color theme="1"/>
        <rFont val="Arial"/>
        <family val="2"/>
      </rPr>
      <t>Francisella tularensis</t>
    </r>
    <r>
      <rPr>
        <sz val="8"/>
        <color theme="1"/>
        <rFont val="Arial"/>
        <family val="2"/>
      </rPr>
      <t xml:space="preserve"> LVS ∆</t>
    </r>
    <r>
      <rPr>
        <i/>
        <sz val="8"/>
        <color theme="1"/>
        <rFont val="Arial"/>
        <family val="2"/>
      </rPr>
      <t>pmrA</t>
    </r>
  </si>
  <si>
    <r>
      <rPr>
        <i/>
        <sz val="8"/>
        <color theme="1"/>
        <rFont val="Arial"/>
        <family val="2"/>
      </rPr>
      <t>Francisella noatunensis</t>
    </r>
    <r>
      <rPr>
        <sz val="8"/>
        <color theme="1"/>
        <rFont val="Arial"/>
        <family val="2"/>
      </rPr>
      <t xml:space="preserve"> LADL 07-285A</t>
    </r>
  </si>
  <si>
    <r>
      <rPr>
        <i/>
        <sz val="8"/>
        <color theme="1"/>
        <rFont val="Arial"/>
        <family val="2"/>
      </rPr>
      <t>Francisella noatunensis</t>
    </r>
    <r>
      <rPr>
        <sz val="8"/>
        <color theme="1"/>
        <rFont val="Arial"/>
        <family val="2"/>
      </rPr>
      <t xml:space="preserve"> LADL 07-285A ∆</t>
    </r>
    <r>
      <rPr>
        <i/>
        <sz val="8"/>
        <color theme="1"/>
        <rFont val="Arial"/>
        <family val="2"/>
      </rPr>
      <t>dotU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</si>
</sst>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9" formatCode="0.0"/>
  </numFmts>
  <fonts count="11" x14ac:knownFonts="1">
    <font>
      <sz val="12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/>
    <xf numFmtId="0" fontId="2" fillId="0" borderId="4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" fontId="2" fillId="0" borderId="4" xfId="0" applyNumberFormat="1" applyFont="1" applyBorder="1" applyAlignment="1">
      <alignment horizontal="right" vertical="center"/>
    </xf>
    <xf numFmtId="0" fontId="4" fillId="0" borderId="4" xfId="0" applyFont="1" applyBorder="1"/>
    <xf numFmtId="0" fontId="2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0" borderId="0" xfId="0" applyFont="1"/>
    <xf numFmtId="0" fontId="0" fillId="0" borderId="11" xfId="0" applyBorder="1"/>
    <xf numFmtId="0" fontId="1" fillId="0" borderId="11" xfId="0" applyFont="1" applyBorder="1" applyAlignment="1">
      <alignment vertical="center" wrapText="1"/>
    </xf>
    <xf numFmtId="20" fontId="0" fillId="0" borderId="11" xfId="0" applyNumberFormat="1" applyBorder="1"/>
    <xf numFmtId="164" fontId="2" fillId="0" borderId="11" xfId="0" applyNumberFormat="1" applyFont="1" applyBorder="1" applyAlignment="1">
      <alignment horizontal="right" vertical="center"/>
    </xf>
    <xf numFmtId="18" fontId="0" fillId="0" borderId="0" xfId="0" applyNumberFormat="1"/>
    <xf numFmtId="0" fontId="0" fillId="0" borderId="11" xfId="0" applyBorder="1" applyAlignment="1">
      <alignment horizontal="center" wrapText="1"/>
    </xf>
    <xf numFmtId="0" fontId="2" fillId="0" borderId="0" xfId="0" applyFont="1" applyFill="1" applyBorder="1" applyAlignment="1">
      <alignment vertical="center"/>
    </xf>
    <xf numFmtId="0" fontId="0" fillId="0" borderId="11" xfId="0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1" xfId="0" applyFont="1" applyBorder="1"/>
    <xf numFmtId="20" fontId="0" fillId="0" borderId="0" xfId="0" applyNumberFormat="1"/>
    <xf numFmtId="0" fontId="6" fillId="0" borderId="11" xfId="0" applyFont="1" applyFill="1" applyBorder="1"/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169" fontId="6" fillId="0" borderId="11" xfId="0" applyNumberFormat="1" applyFont="1" applyBorder="1"/>
    <xf numFmtId="0" fontId="8" fillId="0" borderId="11" xfId="0" applyFont="1" applyBorder="1"/>
    <xf numFmtId="0" fontId="8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7" fillId="0" borderId="11" xfId="0" applyFont="1" applyFill="1" applyBorder="1" applyAlignment="1">
      <alignment horizontal="center" vertical="center"/>
    </xf>
    <xf numFmtId="164" fontId="6" fillId="0" borderId="11" xfId="0" applyNumberFormat="1" applyFont="1" applyBorder="1"/>
    <xf numFmtId="0" fontId="9" fillId="0" borderId="11" xfId="0" applyFont="1" applyBorder="1"/>
    <xf numFmtId="18" fontId="9" fillId="0" borderId="1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9" fontId="9" fillId="0" borderId="11" xfId="0" applyNumberFormat="1" applyFont="1" applyBorder="1"/>
    <xf numFmtId="164" fontId="9" fillId="0" borderId="11" xfId="0" applyNumberFormat="1" applyFont="1" applyBorder="1"/>
    <xf numFmtId="0" fontId="9" fillId="0" borderId="11" xfId="0" applyFont="1" applyBorder="1" applyAlignment="1">
      <alignment horizontal="center"/>
    </xf>
    <xf numFmtId="169" fontId="5" fillId="0" borderId="0" xfId="0" applyNumberFormat="1" applyFont="1"/>
    <xf numFmtId="0" fontId="8" fillId="0" borderId="11" xfId="0" applyFont="1" applyBorder="1" applyAlignment="1">
      <alignment horizontal="center"/>
    </xf>
    <xf numFmtId="169" fontId="6" fillId="0" borderId="11" xfId="0" applyNumberFormat="1" applyFont="1" applyBorder="1" applyAlignment="1">
      <alignment horizontal="center"/>
    </xf>
    <xf numFmtId="1" fontId="6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97A1-AFD4-9B40-9F50-2ADD5F60678C}">
  <dimension ref="A2:H36"/>
  <sheetViews>
    <sheetView topLeftCell="A4" workbookViewId="0">
      <selection activeCell="G32" sqref="G32"/>
    </sheetView>
  </sheetViews>
  <sheetFormatPr baseColWidth="10" defaultRowHeight="16" x14ac:dyDescent="0.2"/>
  <cols>
    <col min="2" max="2" width="14.1640625" bestFit="1" customWidth="1"/>
  </cols>
  <sheetData>
    <row r="2" spans="1:8" ht="17" thickBot="1" x14ac:dyDescent="0.25"/>
    <row r="3" spans="1:8" ht="17" thickBot="1" x14ac:dyDescent="0.25">
      <c r="F3" s="1" t="s">
        <v>22</v>
      </c>
    </row>
    <row r="4" spans="1:8" ht="40" thickBot="1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21</v>
      </c>
      <c r="F4" s="2" t="s">
        <v>2</v>
      </c>
    </row>
    <row r="5" spans="1:8" ht="17" thickBot="1" x14ac:dyDescent="0.25">
      <c r="A5" s="3">
        <v>1</v>
      </c>
      <c r="B5" s="4" t="s">
        <v>4</v>
      </c>
      <c r="C5" s="5">
        <v>3.6999999999999998E-2</v>
      </c>
      <c r="D5" s="6">
        <f>C5*(1000/20)</f>
        <v>1.8499999999999999</v>
      </c>
      <c r="E5" s="8">
        <f>21000*0.08/D5</f>
        <v>908.10810810810813</v>
      </c>
      <c r="F5" s="7">
        <v>7.2999999999999995E-2</v>
      </c>
    </row>
    <row r="6" spans="1:8" ht="17" thickBot="1" x14ac:dyDescent="0.25">
      <c r="A6" s="3">
        <v>2</v>
      </c>
      <c r="B6" s="4" t="s">
        <v>5</v>
      </c>
      <c r="C6" s="5">
        <v>0.106</v>
      </c>
      <c r="D6" s="6">
        <f>C6*(1000/20)</f>
        <v>5.3</v>
      </c>
      <c r="E6" s="8">
        <f>21000*0.08/D6</f>
        <v>316.98113207547169</v>
      </c>
      <c r="F6" s="7">
        <v>7.1999999999999995E-2</v>
      </c>
    </row>
    <row r="8" spans="1:8" x14ac:dyDescent="0.2">
      <c r="A8" t="s">
        <v>8</v>
      </c>
    </row>
    <row r="9" spans="1:8" x14ac:dyDescent="0.2">
      <c r="A9" t="s">
        <v>9</v>
      </c>
      <c r="E9" s="14" t="s">
        <v>23</v>
      </c>
      <c r="F9" s="14"/>
      <c r="G9" s="14">
        <f>2*60+45</f>
        <v>165</v>
      </c>
      <c r="H9" s="14">
        <f>60+45</f>
        <v>105</v>
      </c>
    </row>
    <row r="10" spans="1:8" x14ac:dyDescent="0.2">
      <c r="A10" t="s">
        <v>10</v>
      </c>
      <c r="E10" s="14"/>
      <c r="F10" s="15" t="s">
        <v>22</v>
      </c>
      <c r="G10" s="16">
        <v>0.51041666666666663</v>
      </c>
      <c r="H10" s="14" t="s">
        <v>25</v>
      </c>
    </row>
    <row r="11" spans="1:8" x14ac:dyDescent="0.2">
      <c r="A11" t="s">
        <v>11</v>
      </c>
      <c r="E11" s="14" t="s">
        <v>8</v>
      </c>
      <c r="F11" s="17">
        <v>7.2999999999999995E-2</v>
      </c>
      <c r="G11" s="14">
        <v>0.25800000000000001</v>
      </c>
      <c r="H11" s="14">
        <v>0.71099999999999997</v>
      </c>
    </row>
    <row r="12" spans="1:8" x14ac:dyDescent="0.2">
      <c r="A12" t="s">
        <v>13</v>
      </c>
      <c r="E12" s="14" t="s">
        <v>9</v>
      </c>
      <c r="F12" s="17">
        <v>7.2999999999999995E-2</v>
      </c>
      <c r="G12" s="14">
        <v>0.253</v>
      </c>
      <c r="H12" s="14">
        <v>0.70299999999999996</v>
      </c>
    </row>
    <row r="13" spans="1:8" x14ac:dyDescent="0.2">
      <c r="A13" t="s">
        <v>12</v>
      </c>
      <c r="E13" s="14" t="s">
        <v>10</v>
      </c>
      <c r="F13" s="17">
        <v>7.2999999999999995E-2</v>
      </c>
      <c r="G13" s="14">
        <v>0.252</v>
      </c>
      <c r="H13" s="14">
        <v>0.71099999999999997</v>
      </c>
    </row>
    <row r="14" spans="1:8" x14ac:dyDescent="0.2">
      <c r="E14" s="14" t="s">
        <v>11</v>
      </c>
      <c r="F14" s="17">
        <v>7.1999999999999995E-2</v>
      </c>
      <c r="G14" s="14">
        <v>0.107</v>
      </c>
      <c r="H14" s="14">
        <v>0.13900000000000001</v>
      </c>
    </row>
    <row r="15" spans="1:8" x14ac:dyDescent="0.2">
      <c r="E15" s="14" t="s">
        <v>13</v>
      </c>
      <c r="F15" s="17">
        <v>7.1999999999999995E-2</v>
      </c>
      <c r="G15" s="14">
        <v>0.107</v>
      </c>
      <c r="H15" s="14">
        <v>0.14299999999999999</v>
      </c>
    </row>
    <row r="16" spans="1:8" x14ac:dyDescent="0.2">
      <c r="E16" s="14" t="s">
        <v>12</v>
      </c>
      <c r="F16" s="17">
        <v>7.1999999999999995E-2</v>
      </c>
      <c r="G16" s="14">
        <v>0.108</v>
      </c>
      <c r="H16" s="14">
        <v>0.14000000000000001</v>
      </c>
    </row>
    <row r="18" spans="5:8" x14ac:dyDescent="0.2">
      <c r="E18" s="21" t="s">
        <v>26</v>
      </c>
      <c r="F18" s="14">
        <v>1</v>
      </c>
      <c r="G18" s="14">
        <f>AVERAGE(G31:G33)</f>
        <v>92.247388205680537</v>
      </c>
      <c r="H18" s="14">
        <f>AVERAGE(H31:H33)</f>
        <v>71.531897608182476</v>
      </c>
    </row>
    <row r="19" spans="5:8" x14ac:dyDescent="0.2">
      <c r="E19" s="21"/>
      <c r="F19" s="14">
        <v>2</v>
      </c>
      <c r="G19" s="14">
        <f>AVERAGE(G34:G36)</f>
        <v>288.38857956294697</v>
      </c>
      <c r="H19" s="14">
        <f>AVERAGE(H34:H36)</f>
        <v>271.64992552520494</v>
      </c>
    </row>
    <row r="31" spans="5:8" x14ac:dyDescent="0.2">
      <c r="F31" t="s">
        <v>24</v>
      </c>
      <c r="G31">
        <f>G$9/(3.3*LOG(G11/F11))</f>
        <v>91.191478446581556</v>
      </c>
      <c r="H31">
        <f t="shared" ref="G31:H36" si="0">H$9/(3.3*LOG(H11/G11))</f>
        <v>72.273002666031189</v>
      </c>
    </row>
    <row r="32" spans="5:8" x14ac:dyDescent="0.2">
      <c r="G32">
        <f t="shared" si="0"/>
        <v>92.62730020401473</v>
      </c>
      <c r="H32">
        <f t="shared" si="0"/>
        <v>71.689244607696224</v>
      </c>
    </row>
    <row r="33" spans="7:8" x14ac:dyDescent="0.2">
      <c r="G33">
        <f t="shared" si="0"/>
        <v>92.923385966445309</v>
      </c>
      <c r="H33">
        <f t="shared" si="0"/>
        <v>70.633445550819999</v>
      </c>
    </row>
    <row r="34" spans="7:8" x14ac:dyDescent="0.2">
      <c r="G34">
        <f t="shared" si="0"/>
        <v>290.61102966273114</v>
      </c>
      <c r="H34">
        <f t="shared" si="0"/>
        <v>280.01316100885202</v>
      </c>
    </row>
    <row r="35" spans="7:8" x14ac:dyDescent="0.2">
      <c r="G35">
        <f t="shared" si="0"/>
        <v>290.61102966273114</v>
      </c>
      <c r="H35">
        <f t="shared" si="0"/>
        <v>252.6209682446015</v>
      </c>
    </row>
    <row r="36" spans="7:8" x14ac:dyDescent="0.2">
      <c r="G36">
        <f t="shared" si="0"/>
        <v>283.94367936337869</v>
      </c>
      <c r="H36">
        <f t="shared" si="0"/>
        <v>282.31564732216128</v>
      </c>
    </row>
  </sheetData>
  <mergeCells count="1">
    <mergeCell ref="E18:E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B059B-CD9A-0746-827A-7B7AC9443A03}">
  <dimension ref="A3:K39"/>
  <sheetViews>
    <sheetView workbookViewId="0">
      <selection activeCell="D12" sqref="D12"/>
    </sheetView>
  </sheetViews>
  <sheetFormatPr baseColWidth="10" defaultRowHeight="16" x14ac:dyDescent="0.2"/>
  <cols>
    <col min="2" max="2" width="14.1640625" bestFit="1" customWidth="1"/>
    <col min="5" max="5" width="12.33203125" customWidth="1"/>
  </cols>
  <sheetData>
    <row r="3" spans="1:11" ht="17" thickBot="1" x14ac:dyDescent="0.25"/>
    <row r="4" spans="1:11" ht="40" thickBot="1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32</v>
      </c>
      <c r="F4" s="2" t="s">
        <v>33</v>
      </c>
      <c r="G4" s="2" t="s">
        <v>2</v>
      </c>
      <c r="H4" s="2" t="s">
        <v>31</v>
      </c>
    </row>
    <row r="5" spans="1:11" ht="17" thickBot="1" x14ac:dyDescent="0.25">
      <c r="A5" s="3">
        <v>1</v>
      </c>
      <c r="B5" s="4" t="s">
        <v>37</v>
      </c>
      <c r="C5" s="5">
        <v>9.8000000000000004E-2</v>
      </c>
      <c r="D5" s="6">
        <f>C5*10</f>
        <v>0.98</v>
      </c>
      <c r="E5" s="8">
        <f>1400*0.4/D5</f>
        <v>571.42857142857144</v>
      </c>
      <c r="F5" s="8">
        <f>1400-E5</f>
        <v>828.57142857142856</v>
      </c>
      <c r="G5" s="5">
        <v>0.39800000000000002</v>
      </c>
      <c r="H5" s="8">
        <f>21000*0.004/G5</f>
        <v>211.05527638190955</v>
      </c>
    </row>
    <row r="6" spans="1:11" ht="17" thickBot="1" x14ac:dyDescent="0.25">
      <c r="A6" s="3">
        <v>2</v>
      </c>
      <c r="B6" s="4" t="s">
        <v>36</v>
      </c>
      <c r="C6" s="5">
        <v>0.17799999999999999</v>
      </c>
      <c r="D6" s="6">
        <f t="shared" ref="D6:D7" si="0">C6*10</f>
        <v>1.7799999999999998</v>
      </c>
      <c r="E6" s="8">
        <f>1400*0.4/D6</f>
        <v>314.60674157303373</v>
      </c>
      <c r="F6" s="8">
        <f t="shared" ref="F6:F7" si="1">1400-E6</f>
        <v>1085.3932584269662</v>
      </c>
      <c r="G6" s="5">
        <v>0.37</v>
      </c>
      <c r="H6" s="8">
        <f>21000*0.004/G6</f>
        <v>227.02702702702703</v>
      </c>
    </row>
    <row r="7" spans="1:11" ht="17" thickBot="1" x14ac:dyDescent="0.25">
      <c r="A7" s="3" t="s">
        <v>30</v>
      </c>
      <c r="B7" s="4" t="s">
        <v>35</v>
      </c>
      <c r="C7" s="5">
        <v>0.15</v>
      </c>
      <c r="D7" s="6">
        <f t="shared" si="0"/>
        <v>1.5</v>
      </c>
      <c r="E7" s="8">
        <f>1400*0.4/D7</f>
        <v>373.33333333333331</v>
      </c>
      <c r="F7" s="8">
        <f t="shared" si="1"/>
        <v>1026.6666666666667</v>
      </c>
      <c r="G7" s="5">
        <v>0.36899999999999999</v>
      </c>
      <c r="H7" s="8">
        <f>21000*0.004/G7</f>
        <v>227.64227642276424</v>
      </c>
    </row>
    <row r="8" spans="1:11" x14ac:dyDescent="0.2">
      <c r="H8" t="s">
        <v>34</v>
      </c>
    </row>
    <row r="9" spans="1:11" x14ac:dyDescent="0.2">
      <c r="F9">
        <f>F6/2</f>
        <v>542.69662921348311</v>
      </c>
    </row>
    <row r="10" spans="1:11" x14ac:dyDescent="0.2">
      <c r="B10" s="20" t="s">
        <v>60</v>
      </c>
      <c r="F10">
        <f>F7/2</f>
        <v>513.33333333333337</v>
      </c>
    </row>
    <row r="11" spans="1:11" x14ac:dyDescent="0.2">
      <c r="A11" t="s">
        <v>8</v>
      </c>
      <c r="B11">
        <v>6.5000000000000002E-2</v>
      </c>
    </row>
    <row r="12" spans="1:11" x14ac:dyDescent="0.2">
      <c r="A12" t="s">
        <v>9</v>
      </c>
      <c r="B12">
        <v>7.0999999999999994E-2</v>
      </c>
    </row>
    <row r="13" spans="1:11" x14ac:dyDescent="0.2">
      <c r="A13" t="s">
        <v>10</v>
      </c>
      <c r="B13">
        <v>8.8999999999999996E-2</v>
      </c>
      <c r="H13" s="14" t="s">
        <v>23</v>
      </c>
      <c r="I13" s="14"/>
      <c r="J13" s="14">
        <f>2*60+45</f>
        <v>165</v>
      </c>
      <c r="K13" s="14">
        <f>60+45</f>
        <v>105</v>
      </c>
    </row>
    <row r="14" spans="1:11" x14ac:dyDescent="0.2">
      <c r="A14" t="s">
        <v>11</v>
      </c>
      <c r="B14">
        <v>0.30499999999999999</v>
      </c>
      <c r="H14" s="14"/>
      <c r="I14" s="15" t="s">
        <v>22</v>
      </c>
      <c r="J14" s="16">
        <v>0.51041666666666663</v>
      </c>
      <c r="K14" s="14" t="s">
        <v>25</v>
      </c>
    </row>
    <row r="15" spans="1:11" x14ac:dyDescent="0.2">
      <c r="A15" t="s">
        <v>13</v>
      </c>
      <c r="B15">
        <v>0.28599999999999998</v>
      </c>
      <c r="H15" s="14" t="s">
        <v>8</v>
      </c>
      <c r="I15" s="17">
        <v>7.2999999999999995E-2</v>
      </c>
      <c r="J15" s="14">
        <v>0.25800000000000001</v>
      </c>
      <c r="K15" s="14">
        <v>0.71099999999999997</v>
      </c>
    </row>
    <row r="16" spans="1:11" x14ac:dyDescent="0.2">
      <c r="A16" t="s">
        <v>12</v>
      </c>
      <c r="B16">
        <v>0.27</v>
      </c>
      <c r="H16" s="14" t="s">
        <v>9</v>
      </c>
      <c r="I16" s="17">
        <v>7.2999999999999995E-2</v>
      </c>
      <c r="J16" s="14">
        <v>0.253</v>
      </c>
      <c r="K16" s="14">
        <v>0.70299999999999996</v>
      </c>
    </row>
    <row r="17" spans="8:11" x14ac:dyDescent="0.2">
      <c r="H17" s="14" t="s">
        <v>10</v>
      </c>
      <c r="I17" s="17">
        <v>7.2999999999999995E-2</v>
      </c>
      <c r="J17" s="14">
        <v>0.252</v>
      </c>
      <c r="K17" s="14">
        <v>0.71099999999999997</v>
      </c>
    </row>
    <row r="18" spans="8:11" ht="16" customHeight="1" x14ac:dyDescent="0.2">
      <c r="H18" s="14" t="s">
        <v>11</v>
      </c>
      <c r="I18" s="17">
        <v>7.1999999999999995E-2</v>
      </c>
      <c r="J18" s="14">
        <v>0.107</v>
      </c>
      <c r="K18" s="14">
        <v>0.13900000000000001</v>
      </c>
    </row>
    <row r="19" spans="8:11" x14ac:dyDescent="0.2">
      <c r="H19" s="14" t="s">
        <v>13</v>
      </c>
      <c r="I19" s="17">
        <v>7.1999999999999995E-2</v>
      </c>
      <c r="J19" s="14">
        <v>0.107</v>
      </c>
      <c r="K19" s="14">
        <v>0.14299999999999999</v>
      </c>
    </row>
    <row r="20" spans="8:11" x14ac:dyDescent="0.2">
      <c r="H20" s="14" t="s">
        <v>12</v>
      </c>
      <c r="I20" s="17">
        <v>7.1999999999999995E-2</v>
      </c>
      <c r="J20" s="14">
        <v>0.108</v>
      </c>
      <c r="K20" s="14">
        <v>0.14000000000000001</v>
      </c>
    </row>
    <row r="22" spans="8:11" ht="51" x14ac:dyDescent="0.2">
      <c r="H22" s="19" t="s">
        <v>26</v>
      </c>
      <c r="I22" s="14">
        <v>1</v>
      </c>
      <c r="J22" s="14">
        <f>AVERAGE(G34:G36)</f>
        <v>92.247388205680537</v>
      </c>
      <c r="K22" s="14">
        <f>AVERAGE(H34:H36)</f>
        <v>71.531897608182476</v>
      </c>
    </row>
    <row r="23" spans="8:11" x14ac:dyDescent="0.2">
      <c r="H23" s="19"/>
      <c r="I23" s="14">
        <v>2</v>
      </c>
      <c r="J23" s="14">
        <f>AVERAGE(G37:G39)</f>
        <v>288.38857956294697</v>
      </c>
      <c r="K23" s="14">
        <f>AVERAGE(H37:H39)</f>
        <v>271.64992552520494</v>
      </c>
    </row>
    <row r="34" spans="6:8" x14ac:dyDescent="0.2">
      <c r="F34" t="s">
        <v>24</v>
      </c>
      <c r="G34">
        <f t="shared" ref="G34:H39" si="2">J$13/(3.3*LOG(J15/I15))</f>
        <v>91.191478446581556</v>
      </c>
      <c r="H34">
        <f t="shared" si="2"/>
        <v>72.273002666031189</v>
      </c>
    </row>
    <row r="35" spans="6:8" x14ac:dyDescent="0.2">
      <c r="G35">
        <f t="shared" si="2"/>
        <v>92.62730020401473</v>
      </c>
      <c r="H35">
        <f t="shared" si="2"/>
        <v>71.689244607696224</v>
      </c>
    </row>
    <row r="36" spans="6:8" x14ac:dyDescent="0.2">
      <c r="G36">
        <f t="shared" si="2"/>
        <v>92.923385966445309</v>
      </c>
      <c r="H36">
        <f t="shared" si="2"/>
        <v>70.633445550819999</v>
      </c>
    </row>
    <row r="37" spans="6:8" x14ac:dyDescent="0.2">
      <c r="G37">
        <f t="shared" si="2"/>
        <v>290.61102966273114</v>
      </c>
      <c r="H37">
        <f t="shared" si="2"/>
        <v>280.01316100885202</v>
      </c>
    </row>
    <row r="38" spans="6:8" x14ac:dyDescent="0.2">
      <c r="G38">
        <f t="shared" si="2"/>
        <v>290.61102966273114</v>
      </c>
      <c r="H38">
        <f t="shared" si="2"/>
        <v>252.6209682446015</v>
      </c>
    </row>
    <row r="39" spans="6:8" x14ac:dyDescent="0.2">
      <c r="G39">
        <f t="shared" si="2"/>
        <v>283.94367936337869</v>
      </c>
      <c r="H39">
        <f t="shared" si="2"/>
        <v>282.31564732216128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2C13-D8B6-5F48-9A60-48BBA62CC952}">
  <dimension ref="A2:U19"/>
  <sheetViews>
    <sheetView topLeftCell="B1" workbookViewId="0">
      <selection activeCell="H2" sqref="H2:H3"/>
    </sheetView>
  </sheetViews>
  <sheetFormatPr baseColWidth="10" defaultRowHeight="16" x14ac:dyDescent="0.2"/>
  <cols>
    <col min="2" max="2" width="14.1640625" bestFit="1" customWidth="1"/>
    <col min="5" max="5" width="12.33203125" customWidth="1"/>
    <col min="8" max="8" width="8.5" bestFit="1" customWidth="1"/>
    <col min="9" max="9" width="5.1640625" bestFit="1" customWidth="1"/>
    <col min="10" max="10" width="6.5" bestFit="1" customWidth="1"/>
    <col min="11" max="11" width="6.6640625" bestFit="1" customWidth="1"/>
    <col min="12" max="12" width="5.5" bestFit="1" customWidth="1"/>
    <col min="13" max="13" width="6.5" bestFit="1" customWidth="1"/>
    <col min="14" max="14" width="6.6640625" bestFit="1" customWidth="1"/>
    <col min="15" max="15" width="5.5" bestFit="1" customWidth="1"/>
    <col min="16" max="16" width="6.5" bestFit="1" customWidth="1"/>
    <col min="17" max="17" width="6.6640625" bestFit="1" customWidth="1"/>
    <col min="18" max="18" width="5.5" bestFit="1" customWidth="1"/>
    <col min="19" max="20" width="6.6640625" bestFit="1" customWidth="1"/>
    <col min="21" max="21" width="5.5" bestFit="1" customWidth="1"/>
  </cols>
  <sheetData>
    <row r="2" spans="1:21" ht="25" x14ac:dyDescent="0.2">
      <c r="H2" s="32" t="s">
        <v>67</v>
      </c>
      <c r="I2" s="33">
        <v>0</v>
      </c>
      <c r="J2" s="28">
        <f>60*2+25</f>
        <v>145</v>
      </c>
      <c r="K2" s="28"/>
      <c r="L2" s="28"/>
      <c r="M2" s="28">
        <f>120+25</f>
        <v>145</v>
      </c>
      <c r="N2" s="28"/>
      <c r="O2" s="28"/>
      <c r="P2" s="28">
        <f>60+35</f>
        <v>95</v>
      </c>
      <c r="Q2" s="28"/>
      <c r="R2" s="28"/>
      <c r="S2" s="33">
        <v>20</v>
      </c>
      <c r="T2" s="33">
        <v>80</v>
      </c>
      <c r="U2" s="25"/>
    </row>
    <row r="3" spans="1:21" ht="17" thickBot="1" x14ac:dyDescent="0.25">
      <c r="H3" s="31" t="s">
        <v>66</v>
      </c>
      <c r="I3" s="34" t="s">
        <v>46</v>
      </c>
      <c r="J3" s="28" t="s">
        <v>57</v>
      </c>
      <c r="K3" s="28"/>
      <c r="L3" s="28"/>
      <c r="M3" s="28" t="s">
        <v>62</v>
      </c>
      <c r="N3" s="28"/>
      <c r="O3" s="28"/>
      <c r="P3" s="28" t="s">
        <v>63</v>
      </c>
      <c r="Q3" s="28"/>
      <c r="R3" s="28"/>
      <c r="S3" s="33" t="s">
        <v>25</v>
      </c>
      <c r="T3" s="33" t="s">
        <v>65</v>
      </c>
      <c r="U3" s="25"/>
    </row>
    <row r="4" spans="1:21" ht="27" thickBot="1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21</v>
      </c>
      <c r="F4" s="2" t="s">
        <v>2</v>
      </c>
      <c r="H4" s="25"/>
      <c r="I4" s="25"/>
      <c r="J4" s="29" t="s">
        <v>50</v>
      </c>
      <c r="K4" s="29" t="s">
        <v>51</v>
      </c>
      <c r="L4" s="29" t="s">
        <v>20</v>
      </c>
      <c r="M4" s="29" t="s">
        <v>50</v>
      </c>
      <c r="N4" s="29" t="s">
        <v>51</v>
      </c>
      <c r="O4" s="29" t="s">
        <v>20</v>
      </c>
      <c r="P4" s="29" t="s">
        <v>50</v>
      </c>
      <c r="Q4" s="29" t="s">
        <v>51</v>
      </c>
      <c r="R4" s="29" t="s">
        <v>20</v>
      </c>
      <c r="S4" s="29" t="s">
        <v>51</v>
      </c>
      <c r="T4" s="29" t="s">
        <v>51</v>
      </c>
      <c r="U4" s="29" t="s">
        <v>20</v>
      </c>
    </row>
    <row r="5" spans="1:21" ht="17" thickBot="1" x14ac:dyDescent="0.25">
      <c r="A5" s="3">
        <v>1</v>
      </c>
      <c r="B5" s="4" t="s">
        <v>48</v>
      </c>
      <c r="C5" s="5">
        <v>0.24199999999999999</v>
      </c>
      <c r="D5" s="6">
        <f>C5*20</f>
        <v>4.84</v>
      </c>
      <c r="E5" s="8">
        <f>21000*0.08/D5</f>
        <v>347.10743801652893</v>
      </c>
      <c r="F5" s="5">
        <v>7.9000000000000001E-2</v>
      </c>
      <c r="H5" s="25" t="s">
        <v>8</v>
      </c>
      <c r="I5" s="25">
        <v>7.9000000000000001E-2</v>
      </c>
      <c r="J5" s="25">
        <v>2.4E-2</v>
      </c>
      <c r="K5" s="25">
        <f>J5*4</f>
        <v>9.6000000000000002E-2</v>
      </c>
      <c r="L5" s="30">
        <f>J$2/(3.3*LOG(K5/I5))</f>
        <v>519.10732428032588</v>
      </c>
      <c r="M5" s="25">
        <v>6.0999999999999999E-2</v>
      </c>
      <c r="N5" s="25">
        <f>M5*2</f>
        <v>0.122</v>
      </c>
      <c r="O5" s="30">
        <f>M$2/(3.3*LOG(N5/K5))</f>
        <v>422.13455592318724</v>
      </c>
      <c r="P5" s="25">
        <v>7.1999999999999995E-2</v>
      </c>
      <c r="Q5" s="25">
        <f>P5*2</f>
        <v>0.14399999999999999</v>
      </c>
      <c r="R5" s="30">
        <f>P$2/(3.3*LOG(Q5/N5))</f>
        <v>399.81687093141221</v>
      </c>
      <c r="S5" s="25"/>
      <c r="T5" s="25">
        <v>0.17499999999999999</v>
      </c>
      <c r="U5" s="30">
        <f>T$2/(3.3*LOG(T5/Q5))</f>
        <v>286.2977843713175</v>
      </c>
    </row>
    <row r="6" spans="1:21" ht="17" thickBot="1" x14ac:dyDescent="0.25">
      <c r="A6" s="3">
        <v>2</v>
      </c>
      <c r="B6" s="4" t="s">
        <v>49</v>
      </c>
      <c r="C6" s="5">
        <v>0.27500000000000002</v>
      </c>
      <c r="D6" s="6">
        <f>C6*20</f>
        <v>5.5</v>
      </c>
      <c r="E6" s="8">
        <f>21000*0.08/D6</f>
        <v>305.45454545454544</v>
      </c>
      <c r="F6" s="5">
        <v>0.08</v>
      </c>
      <c r="H6" s="25" t="s">
        <v>9</v>
      </c>
      <c r="I6" s="25">
        <v>7.9000000000000001E-2</v>
      </c>
      <c r="J6" s="25">
        <v>2.5000000000000001E-2</v>
      </c>
      <c r="K6" s="25">
        <f t="shared" ref="K6:K10" si="0">J6*4</f>
        <v>0.1</v>
      </c>
      <c r="L6" s="30">
        <f>J$2/(3.3*LOG(K6/I6))</f>
        <v>429.20919697665386</v>
      </c>
      <c r="M6" s="25">
        <v>0.06</v>
      </c>
      <c r="N6" s="25">
        <f t="shared" ref="N6:N10" si="1">M6*2</f>
        <v>0.12</v>
      </c>
      <c r="O6" s="30">
        <f>M$2/(3.3*LOG(N6/K6))</f>
        <v>554.92172872558604</v>
      </c>
      <c r="P6" s="25">
        <v>7.1999999999999995E-2</v>
      </c>
      <c r="Q6" s="25">
        <f t="shared" ref="Q6:Q10" si="2">P6*2</f>
        <v>0.14399999999999999</v>
      </c>
      <c r="R6" s="30">
        <f>P$2/(3.3*LOG(Q6/N6))</f>
        <v>363.56940847538391</v>
      </c>
      <c r="S6" s="25"/>
      <c r="T6" s="25">
        <v>0.17499999999999999</v>
      </c>
      <c r="U6" s="30">
        <f>T$2/(3.3*LOG(T6/Q6))</f>
        <v>286.2977843713175</v>
      </c>
    </row>
    <row r="7" spans="1:21" x14ac:dyDescent="0.2">
      <c r="F7" t="s">
        <v>46</v>
      </c>
      <c r="H7" s="25" t="s">
        <v>10</v>
      </c>
      <c r="I7" s="25">
        <v>7.9000000000000001E-2</v>
      </c>
      <c r="J7" s="25">
        <v>2.5000000000000001E-2</v>
      </c>
      <c r="K7" s="25">
        <f t="shared" si="0"/>
        <v>0.1</v>
      </c>
      <c r="L7" s="30">
        <f>J$2/(3.3*LOG(K7/I7))</f>
        <v>429.20919697665386</v>
      </c>
      <c r="M7" s="25">
        <v>6.3E-2</v>
      </c>
      <c r="N7" s="25">
        <f t="shared" si="1"/>
        <v>0.126</v>
      </c>
      <c r="O7" s="30">
        <f>M$2/(3.3*LOG(N7/K7))</f>
        <v>437.77179737270745</v>
      </c>
      <c r="P7" s="25">
        <v>7.5999999999999998E-2</v>
      </c>
      <c r="Q7" s="25">
        <f t="shared" si="2"/>
        <v>0.152</v>
      </c>
      <c r="R7" s="30">
        <f>P$2/(3.3*LOG(Q7/N7))</f>
        <v>353.34237913432241</v>
      </c>
      <c r="S7" s="25"/>
      <c r="T7" s="25">
        <v>0.17399999999999999</v>
      </c>
      <c r="U7" s="30">
        <f>T$2/(3.3*LOG(T7/Q7))</f>
        <v>412.9486680316511</v>
      </c>
    </row>
    <row r="8" spans="1:21" x14ac:dyDescent="0.2">
      <c r="H8" s="25" t="s">
        <v>11</v>
      </c>
      <c r="I8" s="25">
        <v>0.08</v>
      </c>
      <c r="J8" s="25">
        <v>3.1E-2</v>
      </c>
      <c r="K8" s="25">
        <f t="shared" si="0"/>
        <v>0.124</v>
      </c>
      <c r="L8" s="30">
        <f>J$2/(3.3*LOG(K8/I8))</f>
        <v>230.85694270473522</v>
      </c>
      <c r="M8" s="25">
        <v>0.109</v>
      </c>
      <c r="N8" s="25">
        <f t="shared" si="1"/>
        <v>0.218</v>
      </c>
      <c r="O8" s="30">
        <f>M$2/(3.3*LOG(N8/K8))</f>
        <v>179.3189882641843</v>
      </c>
      <c r="P8" s="25">
        <v>0.14699999999999999</v>
      </c>
      <c r="Q8" s="25">
        <f t="shared" si="2"/>
        <v>0.29399999999999998</v>
      </c>
      <c r="R8" s="30">
        <f>P$2/(3.3*LOG(Q8/N8))</f>
        <v>221.63132900999938</v>
      </c>
      <c r="S8" s="25">
        <v>0.315</v>
      </c>
      <c r="T8" s="25"/>
      <c r="U8" s="30">
        <f>S$2/(3.3*LOG(S8/Q8))</f>
        <v>202.2681600127369</v>
      </c>
    </row>
    <row r="9" spans="1:21" x14ac:dyDescent="0.2">
      <c r="H9" s="25" t="s">
        <v>13</v>
      </c>
      <c r="I9" s="25">
        <v>0.08</v>
      </c>
      <c r="J9" s="25">
        <v>3.1E-2</v>
      </c>
      <c r="K9" s="25">
        <f t="shared" si="0"/>
        <v>0.124</v>
      </c>
      <c r="L9" s="30">
        <f>J$2/(3.3*LOG(K9/I9))</f>
        <v>230.85694270473522</v>
      </c>
      <c r="M9" s="25">
        <v>0.108</v>
      </c>
      <c r="N9" s="25">
        <f t="shared" si="1"/>
        <v>0.216</v>
      </c>
      <c r="O9" s="30">
        <f>M$2/(3.3*LOG(N9/K9))</f>
        <v>182.29688136787018</v>
      </c>
      <c r="P9" s="25">
        <v>0.15</v>
      </c>
      <c r="Q9" s="25">
        <f t="shared" si="2"/>
        <v>0.3</v>
      </c>
      <c r="R9" s="30">
        <f>P$2/(3.3*LOG(Q9/N9))</f>
        <v>201.78301342470701</v>
      </c>
      <c r="S9" s="25">
        <v>0.33800000000000002</v>
      </c>
      <c r="T9" s="25"/>
      <c r="U9" s="30">
        <f>S$2/(3.3*LOG(S9/Q9))</f>
        <v>117.01040497509297</v>
      </c>
    </row>
    <row r="10" spans="1:21" x14ac:dyDescent="0.2">
      <c r="H10" s="25" t="s">
        <v>12</v>
      </c>
      <c r="I10" s="25">
        <v>0.08</v>
      </c>
      <c r="J10" s="25">
        <v>0.03</v>
      </c>
      <c r="K10" s="25">
        <f t="shared" si="0"/>
        <v>0.12</v>
      </c>
      <c r="L10" s="30">
        <f>J$2/(3.3*LOG(K10/I10))</f>
        <v>249.52626368296913</v>
      </c>
      <c r="M10" s="25">
        <v>0.106</v>
      </c>
      <c r="N10" s="25">
        <f t="shared" si="1"/>
        <v>0.21199999999999999</v>
      </c>
      <c r="O10" s="30">
        <f>M$2/(3.3*LOG(N10/K10))</f>
        <v>177.78099737497266</v>
      </c>
      <c r="P10" s="25">
        <v>0.14899999999999999</v>
      </c>
      <c r="Q10" s="25">
        <f t="shared" si="2"/>
        <v>0.29799999999999999</v>
      </c>
      <c r="R10" s="30">
        <f>P$2/(3.3*LOG(Q10/N10))</f>
        <v>194.6700047819333</v>
      </c>
      <c r="S10" s="25">
        <v>0.32</v>
      </c>
      <c r="T10" s="25"/>
      <c r="U10" s="30">
        <f>S$2/(3.3*LOG(S10/Q10))</f>
        <v>195.92235231984861</v>
      </c>
    </row>
    <row r="11" spans="1:21" x14ac:dyDescent="0.2">
      <c r="H11" s="27" t="s">
        <v>54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pans="1:21" x14ac:dyDescent="0.2">
      <c r="H12" s="27" t="s">
        <v>58</v>
      </c>
      <c r="I12" s="25">
        <f>AVERAGE(I5:I7)</f>
        <v>7.9000000000000001E-2</v>
      </c>
      <c r="J12" s="25"/>
      <c r="K12" s="35">
        <f>AVERAGE(K5:K7)</f>
        <v>9.866666666666668E-2</v>
      </c>
      <c r="L12" s="30">
        <f>AVERAGE(L5:L7)</f>
        <v>459.17523941121118</v>
      </c>
      <c r="M12" s="25"/>
      <c r="N12" s="35">
        <f>AVERAGE(N5:N7)</f>
        <v>0.12266666666666666</v>
      </c>
      <c r="O12" s="30">
        <f>AVERAGE(O5:O7)</f>
        <v>471.60936067382687</v>
      </c>
      <c r="P12" s="25"/>
      <c r="Q12" s="35">
        <f>AVERAGE(Q5:Q7)</f>
        <v>0.14666666666666664</v>
      </c>
      <c r="R12" s="30">
        <f>AVERAGE(R5:R7)</f>
        <v>372.24288618037281</v>
      </c>
      <c r="S12" s="25"/>
      <c r="T12" s="35">
        <f>AVERAGE(T5:T7)</f>
        <v>0.17466666666666666</v>
      </c>
      <c r="U12" s="30">
        <f>AVERAGE(U4:U6)</f>
        <v>286.2977843713175</v>
      </c>
    </row>
    <row r="13" spans="1:21" x14ac:dyDescent="0.2">
      <c r="H13" s="27" t="s">
        <v>59</v>
      </c>
      <c r="I13" s="25">
        <f>AVERAGE(I8:I10)</f>
        <v>0.08</v>
      </c>
      <c r="J13" s="25"/>
      <c r="K13" s="35">
        <f>AVERAGE(K8:K10)</f>
        <v>0.12266666666666666</v>
      </c>
      <c r="L13" s="30">
        <f>AVERAGE(L8:L10)</f>
        <v>237.08004969747984</v>
      </c>
      <c r="M13" s="25"/>
      <c r="N13" s="35">
        <f>AVERAGE(N8:N10)</f>
        <v>0.21533333333333335</v>
      </c>
      <c r="O13" s="30">
        <f>AVERAGE(O8:O10)</f>
        <v>179.79895566900905</v>
      </c>
      <c r="P13" s="25"/>
      <c r="Q13" s="35">
        <f>AVERAGE(Q8:Q10)</f>
        <v>0.29733333333333328</v>
      </c>
      <c r="R13" s="30">
        <f>AVERAGE(R8:R10)</f>
        <v>206.0281157388799</v>
      </c>
      <c r="S13" s="35">
        <f>AVERAGE(S8:S10)</f>
        <v>0.32433333333333336</v>
      </c>
      <c r="T13" s="25"/>
      <c r="U13" s="30">
        <f>AVERAGE(U8:U10)</f>
        <v>171.73363910255952</v>
      </c>
    </row>
    <row r="19" ht="16" customHeight="1" x14ac:dyDescent="0.2"/>
  </sheetData>
  <mergeCells count="7">
    <mergeCell ref="I11:U11"/>
    <mergeCell ref="J3:L3"/>
    <mergeCell ref="M3:O3"/>
    <mergeCell ref="P3:R3"/>
    <mergeCell ref="J2:L2"/>
    <mergeCell ref="M2:O2"/>
    <mergeCell ref="P2:R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3C159-6073-4E47-B329-949E8D2CAE8B}">
  <dimension ref="A1:S17"/>
  <sheetViews>
    <sheetView workbookViewId="0">
      <selection activeCell="R17" sqref="R17"/>
    </sheetView>
  </sheetViews>
  <sheetFormatPr baseColWidth="10" defaultRowHeight="16" x14ac:dyDescent="0.2"/>
  <cols>
    <col min="2" max="2" width="14.1640625" bestFit="1" customWidth="1"/>
    <col min="10" max="11" width="8.1640625" bestFit="1" customWidth="1"/>
    <col min="12" max="12" width="6.33203125" bestFit="1" customWidth="1"/>
    <col min="13" max="13" width="8.83203125" bestFit="1" customWidth="1"/>
    <col min="14" max="14" width="8.1640625" bestFit="1" customWidth="1"/>
    <col min="15" max="15" width="6.33203125" bestFit="1" customWidth="1"/>
    <col min="16" max="16" width="8.83203125" bestFit="1" customWidth="1"/>
    <col min="17" max="17" width="8.1640625" bestFit="1" customWidth="1"/>
    <col min="18" max="18" width="6.33203125" bestFit="1" customWidth="1"/>
    <col min="19" max="19" width="8.83203125" bestFit="1" customWidth="1"/>
  </cols>
  <sheetData>
    <row r="1" spans="1:19" x14ac:dyDescent="0.2">
      <c r="I1" s="32" t="s">
        <v>67</v>
      </c>
      <c r="J1" s="41">
        <v>0</v>
      </c>
      <c r="K1" s="38">
        <f>60*2+10</f>
        <v>130</v>
      </c>
      <c r="L1" s="38"/>
      <c r="M1" s="38"/>
      <c r="N1" s="38">
        <v>150</v>
      </c>
      <c r="O1" s="38"/>
      <c r="P1" s="38"/>
      <c r="Q1" s="38">
        <f>60+50</f>
        <v>110</v>
      </c>
      <c r="R1" s="38"/>
      <c r="S1" s="38"/>
    </row>
    <row r="2" spans="1:19" ht="17" thickBot="1" x14ac:dyDescent="0.25">
      <c r="I2" s="31" t="s">
        <v>66</v>
      </c>
      <c r="J2" s="33" t="s">
        <v>47</v>
      </c>
      <c r="K2" s="37">
        <v>0.39583333333333331</v>
      </c>
      <c r="L2" s="38"/>
      <c r="M2" s="38"/>
      <c r="N2" s="38" t="s">
        <v>61</v>
      </c>
      <c r="O2" s="38"/>
      <c r="P2" s="38"/>
      <c r="Q2" s="38" t="s">
        <v>64</v>
      </c>
      <c r="R2" s="38"/>
      <c r="S2" s="38"/>
    </row>
    <row r="3" spans="1:19" ht="40" thickBot="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27</v>
      </c>
      <c r="F3" s="2" t="s">
        <v>2</v>
      </c>
      <c r="I3" s="25"/>
      <c r="J3" s="36" t="s">
        <v>52</v>
      </c>
      <c r="K3" s="36" t="s">
        <v>52</v>
      </c>
      <c r="L3" s="36" t="s">
        <v>51</v>
      </c>
      <c r="M3" s="36" t="s">
        <v>53</v>
      </c>
      <c r="N3" s="36" t="s">
        <v>52</v>
      </c>
      <c r="O3" s="36" t="s">
        <v>51</v>
      </c>
      <c r="P3" s="36" t="s">
        <v>53</v>
      </c>
      <c r="Q3" s="36" t="s">
        <v>52</v>
      </c>
      <c r="R3" s="36" t="s">
        <v>51</v>
      </c>
      <c r="S3" s="36" t="s">
        <v>53</v>
      </c>
    </row>
    <row r="4" spans="1:19" ht="17" thickBot="1" x14ac:dyDescent="0.25">
      <c r="A4" s="3" t="s">
        <v>28</v>
      </c>
      <c r="B4" s="4" t="s">
        <v>6</v>
      </c>
      <c r="C4" s="5">
        <v>0.249</v>
      </c>
      <c r="D4" s="6">
        <f>C4*20</f>
        <v>4.9800000000000004</v>
      </c>
      <c r="E4" s="8">
        <f>21000*0.05/D4</f>
        <v>210.84337349397589</v>
      </c>
      <c r="F4" s="7">
        <v>4.2000000000000003E-2</v>
      </c>
      <c r="I4" s="25" t="s">
        <v>39</v>
      </c>
      <c r="J4" s="25">
        <v>0.113</v>
      </c>
      <c r="K4" s="36">
        <v>4.1000000000000002E-2</v>
      </c>
      <c r="L4" s="36">
        <f>K4*4</f>
        <v>0.16400000000000001</v>
      </c>
      <c r="M4" s="39">
        <f>K$1/(3.3*LOG(L4/J4))</f>
        <v>243.52511898355894</v>
      </c>
      <c r="N4" s="36">
        <v>0.128</v>
      </c>
      <c r="O4" s="36">
        <f>N4*2</f>
        <v>0.25600000000000001</v>
      </c>
      <c r="P4" s="39">
        <f>N$1/(3.3*LOG(O4/L4))</f>
        <v>235.03339207405591</v>
      </c>
      <c r="Q4" s="36">
        <v>0.17599999999999999</v>
      </c>
      <c r="R4" s="36">
        <f>Q4*2</f>
        <v>0.35199999999999998</v>
      </c>
      <c r="S4" s="39">
        <f>Q$1/(3.3*LOG(R4/O4))</f>
        <v>241.01723086599972</v>
      </c>
    </row>
    <row r="5" spans="1:19" ht="17" thickBot="1" x14ac:dyDescent="0.25">
      <c r="A5" s="3"/>
      <c r="B5" s="4" t="s">
        <v>38</v>
      </c>
      <c r="C5" s="5"/>
      <c r="D5" s="6">
        <v>4.9800000000000004</v>
      </c>
      <c r="E5" s="8">
        <v>21</v>
      </c>
      <c r="F5" s="7">
        <v>4.7E-2</v>
      </c>
      <c r="I5" s="25" t="s">
        <v>40</v>
      </c>
      <c r="J5" s="25">
        <v>0.112</v>
      </c>
      <c r="K5" s="36">
        <v>4.2000000000000003E-2</v>
      </c>
      <c r="L5" s="36">
        <f t="shared" ref="L5:L9" si="0">K5*4</f>
        <v>0.16800000000000001</v>
      </c>
      <c r="M5" s="39">
        <f>K$1/(3.3*LOG(L5/J5))</f>
        <v>223.71320192266199</v>
      </c>
      <c r="N5" s="36">
        <v>0.129</v>
      </c>
      <c r="O5" s="36">
        <f t="shared" ref="O5:O9" si="1">N5*2</f>
        <v>0.25800000000000001</v>
      </c>
      <c r="P5" s="39">
        <f>N$1/(3.3*LOG(O5/L5))</f>
        <v>243.97210000785822</v>
      </c>
      <c r="Q5" s="36">
        <v>0.17599999999999999</v>
      </c>
      <c r="R5" s="36">
        <f t="shared" ref="R5:R9" si="2">Q5*2</f>
        <v>0.35199999999999998</v>
      </c>
      <c r="S5" s="39">
        <f>Q$1/(3.3*LOG(R5/O5))</f>
        <v>247.05457060301995</v>
      </c>
    </row>
    <row r="6" spans="1:19" ht="17" thickBot="1" x14ac:dyDescent="0.25">
      <c r="A6" s="3" t="s">
        <v>29</v>
      </c>
      <c r="B6" s="4" t="s">
        <v>7</v>
      </c>
      <c r="C6" s="5">
        <v>0.33300000000000002</v>
      </c>
      <c r="D6" s="6">
        <f>C6*20</f>
        <v>6.66</v>
      </c>
      <c r="E6" s="8">
        <f>21000*0.05/D6</f>
        <v>157.65765765765767</v>
      </c>
      <c r="F6" s="7">
        <v>4.7E-2</v>
      </c>
      <c r="I6" s="25" t="s">
        <v>41</v>
      </c>
      <c r="J6" s="25">
        <v>0.112</v>
      </c>
      <c r="K6" s="36">
        <v>4.2000000000000003E-2</v>
      </c>
      <c r="L6" s="36">
        <f t="shared" si="0"/>
        <v>0.16800000000000001</v>
      </c>
      <c r="M6" s="39">
        <f>K$1/(3.3*LOG(L6/J6))</f>
        <v>223.71320192266199</v>
      </c>
      <c r="N6" s="36">
        <v>0.129</v>
      </c>
      <c r="O6" s="36">
        <f t="shared" si="1"/>
        <v>0.25800000000000001</v>
      </c>
      <c r="P6" s="39">
        <f>N$1/(3.3*LOG(O6/L6))</f>
        <v>243.97210000785822</v>
      </c>
      <c r="Q6" s="36">
        <v>0.18</v>
      </c>
      <c r="R6" s="36">
        <f t="shared" si="2"/>
        <v>0.36</v>
      </c>
      <c r="S6" s="39">
        <f>Q$1/(3.3*LOG(R6/O6))</f>
        <v>230.38906166055509</v>
      </c>
    </row>
    <row r="7" spans="1:19" x14ac:dyDescent="0.2">
      <c r="I7" s="25" t="s">
        <v>42</v>
      </c>
      <c r="J7" s="25">
        <v>0.09</v>
      </c>
      <c r="K7" s="36">
        <v>3.6999999999999998E-2</v>
      </c>
      <c r="L7" s="36">
        <f t="shared" si="0"/>
        <v>0.14799999999999999</v>
      </c>
      <c r="M7" s="39">
        <f>K$1/(3.3*LOG(L7/J7))</f>
        <v>182.36313396147932</v>
      </c>
      <c r="N7" s="36">
        <v>0.106</v>
      </c>
      <c r="O7" s="36">
        <f t="shared" si="1"/>
        <v>0.21199999999999999</v>
      </c>
      <c r="P7" s="39">
        <f>N$1/(3.3*LOG(O7/L7))</f>
        <v>291.23686885540809</v>
      </c>
      <c r="Q7" s="36">
        <v>0.15</v>
      </c>
      <c r="R7" s="36">
        <f t="shared" si="2"/>
        <v>0.3</v>
      </c>
      <c r="S7" s="39">
        <f>Q$1/(3.3*LOG(R7/O7))</f>
        <v>221.06473641310077</v>
      </c>
    </row>
    <row r="8" spans="1:19" x14ac:dyDescent="0.2">
      <c r="F8" s="18">
        <v>0.67708333333333337</v>
      </c>
      <c r="I8" s="25" t="s">
        <v>43</v>
      </c>
      <c r="J8" s="25">
        <v>9.2999999999999999E-2</v>
      </c>
      <c r="K8" s="36">
        <v>3.3000000000000002E-2</v>
      </c>
      <c r="L8" s="36">
        <f t="shared" si="0"/>
        <v>0.13200000000000001</v>
      </c>
      <c r="M8" s="39">
        <f>K$1/(3.3*LOG(L8/J8))</f>
        <v>259.01561491057561</v>
      </c>
      <c r="N8" s="36">
        <v>0.108</v>
      </c>
      <c r="O8" s="36">
        <f t="shared" si="1"/>
        <v>0.216</v>
      </c>
      <c r="P8" s="39">
        <f>N$1/(3.3*LOG(O8/L8))</f>
        <v>212.52376903167888</v>
      </c>
      <c r="Q8" s="36">
        <v>0.157</v>
      </c>
      <c r="R8" s="36">
        <f t="shared" si="2"/>
        <v>0.314</v>
      </c>
      <c r="S8" s="39">
        <f>Q$1/(3.3*LOG(R8/O8))</f>
        <v>205.15863561767219</v>
      </c>
    </row>
    <row r="9" spans="1:19" x14ac:dyDescent="0.2">
      <c r="D9">
        <v>110</v>
      </c>
      <c r="I9" s="25" t="s">
        <v>44</v>
      </c>
      <c r="J9" s="25">
        <v>9.4E-2</v>
      </c>
      <c r="K9" s="36">
        <v>3.5000000000000003E-2</v>
      </c>
      <c r="L9" s="36">
        <f t="shared" si="0"/>
        <v>0.14000000000000001</v>
      </c>
      <c r="M9" s="39">
        <f>K$1/(3.3*LOG(L9/J9))</f>
        <v>227.71039267493461</v>
      </c>
      <c r="N9" s="36">
        <v>0.11</v>
      </c>
      <c r="O9" s="36">
        <f t="shared" si="1"/>
        <v>0.22</v>
      </c>
      <c r="P9" s="39">
        <f>N$1/(3.3*LOG(O9/L9))</f>
        <v>231.56283973619239</v>
      </c>
      <c r="Q9" s="36">
        <v>0.157</v>
      </c>
      <c r="R9" s="36">
        <f t="shared" si="2"/>
        <v>0.314</v>
      </c>
      <c r="S9" s="39">
        <f>Q$1/(3.3*LOG(R9/O9))</f>
        <v>215.74000141482762</v>
      </c>
    </row>
    <row r="10" spans="1:19" x14ac:dyDescent="0.2">
      <c r="B10" s="14" t="s">
        <v>45</v>
      </c>
      <c r="D10" s="26">
        <v>0.36458333333333331</v>
      </c>
      <c r="I10" s="27" t="s">
        <v>54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</row>
    <row r="11" spans="1:19" x14ac:dyDescent="0.2">
      <c r="A11" s="14"/>
      <c r="B11" s="14" t="s">
        <v>50</v>
      </c>
      <c r="C11" t="s">
        <v>51</v>
      </c>
      <c r="D11" s="14" t="s">
        <v>50</v>
      </c>
      <c r="E11" t="s">
        <v>51</v>
      </c>
      <c r="G11" t="s">
        <v>20</v>
      </c>
      <c r="I11" s="27" t="s">
        <v>55</v>
      </c>
      <c r="J11" s="40">
        <f>AVERAGE(J4:J6)</f>
        <v>0.11233333333333334</v>
      </c>
      <c r="K11" s="36"/>
      <c r="L11" s="40">
        <f>AVERAGE(L4:L6)</f>
        <v>0.16666666666666666</v>
      </c>
      <c r="M11" s="39">
        <f>AVERAGE(M4:M6)</f>
        <v>230.31717427629428</v>
      </c>
      <c r="N11" s="36"/>
      <c r="O11" s="40">
        <f>AVERAGE(O4:O6)</f>
        <v>0.25733333333333336</v>
      </c>
      <c r="P11" s="39">
        <f>AVERAGE(P4:P6)</f>
        <v>240.99253069659076</v>
      </c>
      <c r="Q11" s="36"/>
      <c r="R11" s="40">
        <f>AVERAGE(R4:R6)</f>
        <v>0.35466666666666669</v>
      </c>
      <c r="S11" s="39">
        <f>AVERAGE(S4:S6)</f>
        <v>239.48695437652489</v>
      </c>
    </row>
    <row r="12" spans="1:19" x14ac:dyDescent="0.2">
      <c r="A12" s="14" t="s">
        <v>14</v>
      </c>
      <c r="B12" s="14">
        <v>0.39300000000000002</v>
      </c>
      <c r="C12">
        <f>B12*2</f>
        <v>0.78600000000000003</v>
      </c>
      <c r="D12">
        <v>0.184</v>
      </c>
      <c r="E12">
        <f>D12*5</f>
        <v>0.91999999999999993</v>
      </c>
      <c r="G12">
        <f>D$9/(3.3*LOG(E12/C12))</f>
        <v>487.57692057263654</v>
      </c>
      <c r="I12" s="27" t="s">
        <v>56</v>
      </c>
      <c r="J12" s="40">
        <f>AVERAGE(J7:J9)</f>
        <v>9.2333333333333337E-2</v>
      </c>
      <c r="K12" s="36"/>
      <c r="L12" s="40">
        <f>AVERAGE(L7:L9)</f>
        <v>0.14000000000000001</v>
      </c>
      <c r="M12" s="39">
        <f>AVERAGE(M7:M9)</f>
        <v>223.02971384899652</v>
      </c>
      <c r="N12" s="36"/>
      <c r="O12" s="40">
        <f>AVERAGE(O7:O9)</f>
        <v>0.216</v>
      </c>
      <c r="P12" s="39">
        <f>AVERAGE(P7:P9)</f>
        <v>245.10782587442645</v>
      </c>
      <c r="Q12" s="36"/>
      <c r="R12" s="40">
        <f>AVERAGE(R7:R9)</f>
        <v>0.30933333333333329</v>
      </c>
      <c r="S12" s="39">
        <f>AVERAGE(S7:S9)</f>
        <v>213.98779114853355</v>
      </c>
    </row>
    <row r="13" spans="1:19" x14ac:dyDescent="0.2">
      <c r="A13" s="14" t="s">
        <v>15</v>
      </c>
      <c r="B13" s="14">
        <v>0.39700000000000002</v>
      </c>
      <c r="C13">
        <f t="shared" ref="C13:C17" si="3">B13*2</f>
        <v>0.79400000000000004</v>
      </c>
      <c r="D13">
        <v>0.16200000000000001</v>
      </c>
      <c r="E13">
        <f t="shared" ref="E13:E17" si="4">D13*5</f>
        <v>0.81</v>
      </c>
      <c r="G13">
        <f>D$9/(3.3*LOG(E13/C13))</f>
        <v>3847.1083204368501</v>
      </c>
    </row>
    <row r="14" spans="1:19" x14ac:dyDescent="0.2">
      <c r="A14" s="14" t="s">
        <v>16</v>
      </c>
      <c r="B14" s="14">
        <v>0.39900000000000002</v>
      </c>
      <c r="C14">
        <f t="shared" si="3"/>
        <v>0.79800000000000004</v>
      </c>
      <c r="D14">
        <v>0.16600000000000001</v>
      </c>
      <c r="E14">
        <f t="shared" si="4"/>
        <v>0.83000000000000007</v>
      </c>
      <c r="G14">
        <f>D$9/(3.3*LOG(E14/C14))</f>
        <v>1952.1488083131287</v>
      </c>
    </row>
    <row r="15" spans="1:19" x14ac:dyDescent="0.2">
      <c r="A15" s="14" t="s">
        <v>17</v>
      </c>
      <c r="B15" s="14">
        <v>0.35499999999999998</v>
      </c>
      <c r="C15">
        <f t="shared" si="3"/>
        <v>0.71</v>
      </c>
      <c r="D15">
        <v>0.19800000000000001</v>
      </c>
      <c r="E15">
        <f t="shared" si="4"/>
        <v>0.99</v>
      </c>
      <c r="G15">
        <f>D$9/(3.3*LOG(E15/C15))</f>
        <v>230.87727904369632</v>
      </c>
    </row>
    <row r="16" spans="1:19" x14ac:dyDescent="0.2">
      <c r="A16" s="14" t="s">
        <v>18</v>
      </c>
      <c r="B16" s="14">
        <v>0.34899999999999998</v>
      </c>
      <c r="C16">
        <f t="shared" si="3"/>
        <v>0.69799999999999995</v>
      </c>
      <c r="D16">
        <v>0.182</v>
      </c>
      <c r="E16">
        <f t="shared" si="4"/>
        <v>0.90999999999999992</v>
      </c>
      <c r="G16">
        <f>D$9/(3.3*LOG(E16/C16))</f>
        <v>289.38709654264107</v>
      </c>
    </row>
    <row r="17" spans="1:7" x14ac:dyDescent="0.2">
      <c r="A17" s="14" t="s">
        <v>19</v>
      </c>
      <c r="B17" s="14">
        <v>0.38600000000000001</v>
      </c>
      <c r="C17">
        <f t="shared" si="3"/>
        <v>0.77200000000000002</v>
      </c>
      <c r="D17">
        <v>0.16600000000000001</v>
      </c>
      <c r="E17">
        <f t="shared" si="4"/>
        <v>0.83000000000000007</v>
      </c>
      <c r="G17">
        <f>D$9/(3.3*LOG(E17/C17))</f>
        <v>1059.5198395067316</v>
      </c>
    </row>
  </sheetData>
  <mergeCells count="7">
    <mergeCell ref="K2:M2"/>
    <mergeCell ref="N2:P2"/>
    <mergeCell ref="J10:S10"/>
    <mergeCell ref="Q2:S2"/>
    <mergeCell ref="K1:M1"/>
    <mergeCell ref="N1:P1"/>
    <mergeCell ref="Q1:S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236DA-725A-F445-9B5A-59FFE3A110CC}">
  <dimension ref="A1:E13"/>
  <sheetViews>
    <sheetView workbookViewId="0">
      <selection activeCell="D13" sqref="D13"/>
    </sheetView>
  </sheetViews>
  <sheetFormatPr baseColWidth="10" defaultRowHeight="16" x14ac:dyDescent="0.2"/>
  <cols>
    <col min="1" max="1" width="6.33203125" bestFit="1" customWidth="1"/>
    <col min="2" max="2" width="14.1640625" bestFit="1" customWidth="1"/>
  </cols>
  <sheetData>
    <row r="1" spans="1:5" ht="27" thickBot="1" x14ac:dyDescent="0.25">
      <c r="A1" s="11" t="s">
        <v>0</v>
      </c>
      <c r="B1" s="12" t="s">
        <v>1</v>
      </c>
      <c r="C1" s="2" t="s">
        <v>68</v>
      </c>
      <c r="D1" s="2" t="s">
        <v>69</v>
      </c>
      <c r="E1" s="13"/>
    </row>
    <row r="2" spans="1:5" ht="17" thickBot="1" x14ac:dyDescent="0.25">
      <c r="A2" s="10" t="s">
        <v>8</v>
      </c>
      <c r="B2" s="22" t="s">
        <v>4</v>
      </c>
      <c r="C2" s="9">
        <v>150.96</v>
      </c>
      <c r="D2" s="6">
        <v>119.75</v>
      </c>
      <c r="E2" s="42"/>
    </row>
    <row r="3" spans="1:5" ht="17" thickBot="1" x14ac:dyDescent="0.25">
      <c r="A3" s="10" t="s">
        <v>9</v>
      </c>
      <c r="B3" s="23"/>
      <c r="C3" s="9">
        <v>196.01</v>
      </c>
      <c r="D3" s="6">
        <v>109.36</v>
      </c>
      <c r="E3" s="42">
        <f>D3*15</f>
        <v>1640.4</v>
      </c>
    </row>
    <row r="4" spans="1:5" ht="17" thickBot="1" x14ac:dyDescent="0.25">
      <c r="A4" s="10" t="s">
        <v>10</v>
      </c>
      <c r="B4" s="24"/>
      <c r="C4" s="9">
        <v>185.08</v>
      </c>
      <c r="D4" s="6">
        <v>97.92</v>
      </c>
      <c r="E4" s="42"/>
    </row>
    <row r="5" spans="1:5" ht="17" thickBot="1" x14ac:dyDescent="0.25">
      <c r="A5" s="10" t="s">
        <v>11</v>
      </c>
      <c r="B5" s="22" t="s">
        <v>5</v>
      </c>
      <c r="C5" s="9">
        <v>383.44</v>
      </c>
      <c r="D5" s="6">
        <v>236.65</v>
      </c>
      <c r="E5" s="42"/>
    </row>
    <row r="6" spans="1:5" ht="17" thickBot="1" x14ac:dyDescent="0.25">
      <c r="A6" s="10" t="s">
        <v>13</v>
      </c>
      <c r="B6" s="23"/>
      <c r="C6" s="6">
        <v>353.3</v>
      </c>
      <c r="D6" s="6">
        <v>256.49</v>
      </c>
      <c r="E6" s="42">
        <f>D6*15</f>
        <v>3847.3500000000004</v>
      </c>
    </row>
    <row r="7" spans="1:5" ht="17" thickBot="1" x14ac:dyDescent="0.25">
      <c r="A7" s="10" t="s">
        <v>12</v>
      </c>
      <c r="B7" s="24"/>
      <c r="C7" s="6">
        <v>388.73</v>
      </c>
      <c r="D7" s="6">
        <v>290.7</v>
      </c>
      <c r="E7" s="42"/>
    </row>
    <row r="8" spans="1:5" ht="17" thickBot="1" x14ac:dyDescent="0.25">
      <c r="A8" s="10" t="s">
        <v>39</v>
      </c>
      <c r="B8" s="22" t="s">
        <v>6</v>
      </c>
      <c r="C8" s="6">
        <v>599.80999999999995</v>
      </c>
      <c r="D8" s="6">
        <v>344.58</v>
      </c>
      <c r="E8" s="42"/>
    </row>
    <row r="9" spans="1:5" ht="17" thickBot="1" x14ac:dyDescent="0.25">
      <c r="A9" s="10" t="s">
        <v>40</v>
      </c>
      <c r="B9" s="23"/>
      <c r="C9" s="6">
        <v>624.84</v>
      </c>
      <c r="D9" s="6">
        <v>350.47</v>
      </c>
      <c r="E9" s="42">
        <f>D9*15</f>
        <v>5257.05</v>
      </c>
    </row>
    <row r="10" spans="1:5" ht="17" thickBot="1" x14ac:dyDescent="0.25">
      <c r="A10" s="10" t="s">
        <v>41</v>
      </c>
      <c r="B10" s="24"/>
      <c r="C10" s="6">
        <v>577.34</v>
      </c>
      <c r="D10" s="6">
        <v>324.83</v>
      </c>
      <c r="E10" s="42"/>
    </row>
    <row r="11" spans="1:5" ht="17" thickBot="1" x14ac:dyDescent="0.25">
      <c r="A11" s="10" t="s">
        <v>42</v>
      </c>
      <c r="B11" s="22" t="s">
        <v>7</v>
      </c>
      <c r="C11" s="6">
        <v>402.88</v>
      </c>
      <c r="D11" s="6">
        <v>274.48</v>
      </c>
      <c r="E11" s="42"/>
    </row>
    <row r="12" spans="1:5" ht="17" thickBot="1" x14ac:dyDescent="0.25">
      <c r="A12" s="10" t="s">
        <v>43</v>
      </c>
      <c r="B12" s="23"/>
      <c r="C12" s="6">
        <v>510.27</v>
      </c>
      <c r="D12" s="6">
        <v>289.85000000000002</v>
      </c>
      <c r="E12" s="42">
        <f>D12*15</f>
        <v>4347.75</v>
      </c>
    </row>
    <row r="13" spans="1:5" ht="17" thickBot="1" x14ac:dyDescent="0.25">
      <c r="A13" s="10" t="s">
        <v>44</v>
      </c>
      <c r="B13" s="24"/>
      <c r="C13" s="6">
        <v>508.7</v>
      </c>
      <c r="D13" s="6">
        <v>284.45999999999998</v>
      </c>
      <c r="E13" s="42"/>
    </row>
  </sheetData>
  <mergeCells count="4">
    <mergeCell ref="B2:B4"/>
    <mergeCell ref="B5:B7"/>
    <mergeCell ref="B8:B10"/>
    <mergeCell ref="B11:B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EA749-0354-A24D-8B60-380C4C51B2CA}">
  <dimension ref="A1:F5"/>
  <sheetViews>
    <sheetView tabSelected="1" workbookViewId="0">
      <selection sqref="A1:F5"/>
    </sheetView>
  </sheetViews>
  <sheetFormatPr baseColWidth="10" defaultRowHeight="16" x14ac:dyDescent="0.2"/>
  <cols>
    <col min="1" max="1" width="7.1640625" bestFit="1" customWidth="1"/>
    <col min="2" max="2" width="28" bestFit="1" customWidth="1"/>
    <col min="3" max="3" width="9.83203125" bestFit="1" customWidth="1"/>
    <col min="4" max="4" width="8.5" bestFit="1" customWidth="1"/>
    <col min="5" max="5" width="10.33203125" bestFit="1" customWidth="1"/>
    <col min="6" max="6" width="13.83203125" bestFit="1" customWidth="1"/>
  </cols>
  <sheetData>
    <row r="1" spans="1:6" x14ac:dyDescent="0.2">
      <c r="A1" s="43" t="s">
        <v>70</v>
      </c>
      <c r="B1" s="31" t="s">
        <v>75</v>
      </c>
      <c r="C1" s="43" t="s">
        <v>76</v>
      </c>
      <c r="D1" s="43" t="s">
        <v>78</v>
      </c>
      <c r="E1" s="43" t="s">
        <v>79</v>
      </c>
      <c r="F1" s="31" t="s">
        <v>77</v>
      </c>
    </row>
    <row r="2" spans="1:6" x14ac:dyDescent="0.2">
      <c r="A2" s="33" t="s">
        <v>71</v>
      </c>
      <c r="B2" s="25" t="s">
        <v>80</v>
      </c>
      <c r="C2" s="44">
        <v>109.36</v>
      </c>
      <c r="D2" s="33">
        <v>15</v>
      </c>
      <c r="E2" s="45">
        <f>C2*D2</f>
        <v>1640.4</v>
      </c>
      <c r="F2" s="33" t="s">
        <v>9</v>
      </c>
    </row>
    <row r="3" spans="1:6" x14ac:dyDescent="0.2">
      <c r="A3" s="33" t="s">
        <v>72</v>
      </c>
      <c r="B3" s="25" t="s">
        <v>81</v>
      </c>
      <c r="C3" s="44">
        <v>256.49</v>
      </c>
      <c r="D3" s="33">
        <v>15</v>
      </c>
      <c r="E3" s="45">
        <f t="shared" ref="E3:E5" si="0">C3*D3</f>
        <v>3847.3500000000004</v>
      </c>
      <c r="F3" s="33" t="s">
        <v>13</v>
      </c>
    </row>
    <row r="4" spans="1:6" x14ac:dyDescent="0.2">
      <c r="A4" s="33" t="s">
        <v>73</v>
      </c>
      <c r="B4" s="25" t="s">
        <v>82</v>
      </c>
      <c r="C4" s="44">
        <v>350.47</v>
      </c>
      <c r="D4" s="33">
        <v>15</v>
      </c>
      <c r="E4" s="45">
        <f t="shared" si="0"/>
        <v>5257.05</v>
      </c>
      <c r="F4" s="33" t="s">
        <v>40</v>
      </c>
    </row>
    <row r="5" spans="1:6" x14ac:dyDescent="0.2">
      <c r="A5" s="33" t="s">
        <v>74</v>
      </c>
      <c r="B5" s="25" t="s">
        <v>83</v>
      </c>
      <c r="C5" s="44">
        <v>289.85000000000002</v>
      </c>
      <c r="D5" s="33">
        <v>15</v>
      </c>
      <c r="E5" s="45">
        <f t="shared" si="0"/>
        <v>4347.75</v>
      </c>
      <c r="F5" s="3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LVS</vt:lpstr>
      <vt:lpstr>LVS (2)</vt:lpstr>
      <vt:lpstr>LVS (3)</vt:lpstr>
      <vt:lpstr>Fno</vt:lpstr>
      <vt:lpstr>RNA_conc</vt:lpstr>
      <vt:lpstr>Sample_Submission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2019-11-13T00:32:06Z</dcterms:created>
  <dcterms:modified xsi:type="dcterms:W3CDTF">2019-11-22T14:59:59Z</dcterms:modified>
</cp:coreProperties>
</file>