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Shared drives\KRamsey Lab\Jamie Wandzilak\"/>
    </mc:Choice>
  </mc:AlternateContent>
  <xr:revisionPtr revIDLastSave="0" documentId="13_ncr:1_{A78F30FB-ECBC-4DBD-90CD-817CE265E064}" xr6:coauthVersionLast="43" xr6:coauthVersionMax="43" xr10:uidLastSave="{00000000-0000-0000-0000-000000000000}"/>
  <bookViews>
    <workbookView xWindow="-110" yWindow="-110" windowWidth="19420" windowHeight="10420" tabRatio="500" activeTab="4" xr2:uid="{00000000-000D-0000-FFFF-FFFF00000000}"/>
  </bookViews>
  <sheets>
    <sheet name="ExperimentalSetup" sheetId="1" r:id="rId1"/>
    <sheet name="Sheet1" sheetId="6" r:id="rId2"/>
    <sheet name="T=24" sheetId="3" r:id="rId3"/>
    <sheet name="Plate Needs" sheetId="5" r:id="rId4"/>
    <sheet name="Inoculum" sheetId="2" r:id="rId5"/>
  </sheets>
  <externalReferences>
    <externalReference r:id="rId6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1" i="3" l="1"/>
  <c r="M10" i="3"/>
  <c r="M9" i="3"/>
  <c r="M7" i="3"/>
  <c r="L7" i="3"/>
  <c r="M13" i="3"/>
  <c r="L12" i="3"/>
  <c r="L10" i="3"/>
  <c r="L6" i="3"/>
  <c r="L8" i="3"/>
  <c r="L4" i="3"/>
  <c r="L5" i="3"/>
  <c r="L3" i="3"/>
  <c r="P24" i="1" l="1"/>
  <c r="P10" i="1"/>
  <c r="L9" i="3" l="1"/>
  <c r="M8" i="3"/>
  <c r="M6" i="3"/>
  <c r="P4" i="3" l="1"/>
  <c r="L11" i="3"/>
  <c r="M3" i="3"/>
  <c r="B4" i="6" l="1"/>
  <c r="C7" i="5" l="1"/>
  <c r="C8" i="5" s="1"/>
  <c r="B7" i="5"/>
  <c r="B8" i="5" s="1"/>
  <c r="H3" i="2"/>
  <c r="Q8" i="1"/>
  <c r="Q24" i="1"/>
  <c r="Q10" i="1"/>
  <c r="Q18" i="1" s="1"/>
  <c r="Q20" i="1" s="1"/>
  <c r="Q22" i="1" s="1"/>
  <c r="Q4" i="1"/>
  <c r="B9" i="5" l="1"/>
  <c r="P18" i="1"/>
  <c r="P20" i="1" s="1"/>
  <c r="P22" i="1" s="1"/>
  <c r="H9" i="2"/>
  <c r="H10" i="2"/>
  <c r="H7" i="2"/>
  <c r="H8" i="2"/>
  <c r="H5" i="2"/>
  <c r="H6" i="2"/>
  <c r="H4" i="2"/>
  <c r="J3" i="2" s="1"/>
  <c r="L3" i="2" s="1"/>
  <c r="C14" i="2" s="1"/>
  <c r="L14" i="3"/>
  <c r="M14" i="3" s="1"/>
  <c r="P4" i="1"/>
  <c r="M4" i="3"/>
  <c r="M5" i="3"/>
  <c r="L13" i="3"/>
  <c r="M12" i="3"/>
  <c r="L15" i="3"/>
  <c r="M15" i="3" s="1"/>
  <c r="L16" i="3"/>
  <c r="M16" i="3" s="1"/>
  <c r="D17" i="3"/>
  <c r="E17" i="3" s="1"/>
  <c r="D11" i="2"/>
  <c r="E11" i="2" s="1"/>
  <c r="F11" i="2" s="1"/>
  <c r="H17" i="3"/>
  <c r="I17" i="3" s="1"/>
  <c r="P3" i="3" l="1"/>
  <c r="S4" i="3"/>
  <c r="Q3" i="3"/>
  <c r="Q6" i="3"/>
  <c r="P6" i="3"/>
  <c r="S6" i="3"/>
  <c r="P5" i="3"/>
  <c r="S5" i="3"/>
  <c r="I5" i="2"/>
  <c r="K5" i="2" s="1"/>
  <c r="M5" i="2" s="1"/>
  <c r="Q5" i="3"/>
  <c r="J5" i="2"/>
  <c r="L5" i="2" s="1"/>
  <c r="C15" i="2" s="1"/>
  <c r="I7" i="2"/>
  <c r="K7" i="2" s="1"/>
  <c r="M7" i="2" s="1"/>
  <c r="I9" i="2"/>
  <c r="K9" i="2" s="1"/>
  <c r="M9" i="2" s="1"/>
  <c r="I3" i="2"/>
  <c r="K3" i="2" s="1"/>
  <c r="M3" i="2" s="1"/>
  <c r="J7" i="2"/>
  <c r="L7" i="2" s="1"/>
  <c r="C16" i="2" s="1"/>
  <c r="Q4" i="3"/>
  <c r="J9" i="2"/>
  <c r="L9" i="2" s="1"/>
  <c r="C17" i="2" s="1"/>
  <c r="T3" i="3" l="1"/>
  <c r="T4" i="3"/>
  <c r="B15" i="2"/>
  <c r="B17" i="2"/>
  <c r="B16" i="2"/>
  <c r="B14" i="2"/>
  <c r="T6" i="3"/>
  <c r="T5" i="3"/>
</calcChain>
</file>

<file path=xl/sharedStrings.xml><?xml version="1.0" encoding="utf-8"?>
<sst xmlns="http://schemas.openxmlformats.org/spreadsheetml/2006/main" count="224" uniqueCount="99">
  <si>
    <t xml:space="preserve"> </t>
  </si>
  <si>
    <t>Macrophage Calculations</t>
  </si>
  <si>
    <t>A</t>
  </si>
  <si>
    <t>mac only</t>
  </si>
  <si>
    <t>Cells per well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</si>
  <si>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</si>
  <si>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</si>
  <si>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</si>
  <si>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</si>
  <si>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</si>
  <si>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</si>
  <si>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</si>
  <si>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</si>
  <si>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</si>
  <si>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</si>
  <si>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</si>
  <si>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</si>
  <si>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</si>
  <si>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</si>
  <si>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</si>
  <si>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Bacterial Calculations</t>
  </si>
  <si>
    <t xml:space="preserve">                    </t>
  </si>
  <si>
    <t>MOI</t>
  </si>
  <si>
    <t>Macrophage cells per well</t>
  </si>
  <si>
    <t>Volume bacteria to add (mL)</t>
  </si>
  <si>
    <t>Bacterial density needed (cells/mL)</t>
  </si>
  <si>
    <t>Cells/mL per OD600</t>
  </si>
  <si>
    <t>OD needed for given density</t>
  </si>
  <si>
    <t>Resuspend to</t>
  </si>
  <si>
    <t>Final MOI 5, dilute 1:100</t>
  </si>
  <si>
    <t>LVS</t>
  </si>
  <si>
    <t>Inoculum</t>
  </si>
  <si>
    <t>Replicate</t>
  </si>
  <si>
    <t>Dilution factor counted</t>
  </si>
  <si>
    <t>Cells / mL</t>
  </si>
  <si>
    <t>Average Cells / mL</t>
  </si>
  <si>
    <t>St dev</t>
  </si>
  <si>
    <t>CFU per well</t>
  </si>
  <si>
    <t>1A</t>
  </si>
  <si>
    <t>TMTC</t>
  </si>
  <si>
    <t>-</t>
  </si>
  <si>
    <t>1B</t>
  </si>
  <si>
    <t>2A</t>
  </si>
  <si>
    <t>2B</t>
  </si>
  <si>
    <t>3A</t>
  </si>
  <si>
    <t>3B</t>
  </si>
  <si>
    <t>4A</t>
  </si>
  <si>
    <t>4B</t>
  </si>
  <si>
    <t>Dilution Factor</t>
  </si>
  <si>
    <t>CFU/well</t>
  </si>
  <si>
    <t>Plate</t>
  </si>
  <si>
    <t>Average Cells</t>
  </si>
  <si>
    <t>Average CFU per well</t>
  </si>
  <si>
    <t>St Dev</t>
  </si>
  <si>
    <t>Original MOI</t>
  </si>
  <si>
    <t>Track Plate 1</t>
  </si>
  <si>
    <t>Track Plate 2</t>
  </si>
  <si>
    <t>**Plated 100 ul on circular plate</t>
  </si>
  <si>
    <t>Fold Change</t>
  </si>
  <si>
    <t>1C</t>
  </si>
  <si>
    <t>3C</t>
  </si>
  <si>
    <t>4C</t>
  </si>
  <si>
    <t>2C</t>
  </si>
  <si>
    <t>macrophage**</t>
  </si>
  <si>
    <t>LVS**</t>
  </si>
  <si>
    <t>LVS only</t>
  </si>
  <si>
    <t>*Plated 50 ul on circular plate</t>
  </si>
  <si>
    <t>T-test (vs LVS)</t>
  </si>
  <si>
    <r>
      <t>∆</t>
    </r>
    <r>
      <rPr>
        <i/>
        <sz val="12"/>
        <color theme="1"/>
        <rFont val="Calibri"/>
        <family val="2"/>
        <scheme val="minor"/>
      </rPr>
      <t>pmrA</t>
    </r>
  </si>
  <si>
    <t>Actual</t>
  </si>
  <si>
    <t>Example</t>
  </si>
  <si>
    <t>MOI (based on number of seeded macrophage- see setup)</t>
  </si>
  <si>
    <t>Number of plates</t>
  </si>
  <si>
    <t>Patch strains for infections</t>
  </si>
  <si>
    <t>Round</t>
  </si>
  <si>
    <t>Square</t>
  </si>
  <si>
    <t>Plate inoculumns</t>
  </si>
  <si>
    <t>Timepoint 2 hours</t>
  </si>
  <si>
    <t>Notes</t>
  </si>
  <si>
    <t>2x each</t>
  </si>
  <si>
    <t>4 strains in duplicate</t>
  </si>
  <si>
    <t>3 wells plated in duplicate x 4 strains plus 2 plates for control wells</t>
  </si>
  <si>
    <t>Timepoint 24 hours</t>
  </si>
  <si>
    <t>Total plates</t>
  </si>
  <si>
    <t>Flasks of 600 mL CHA</t>
  </si>
  <si>
    <t>Total number of CHA flasks</t>
  </si>
  <si>
    <t>Round plates: 24 mL, 25 per flask; Square plates: 30 mL, 20 per flask</t>
  </si>
  <si>
    <t>Use</t>
  </si>
  <si>
    <t>&lt;- inoculum</t>
  </si>
  <si>
    <t>PBS</t>
  </si>
  <si>
    <t>"=1:1000"</t>
  </si>
  <si>
    <t>Square: 3 wells plated in duplicate x 3 strains (LVS, dPmra dPriM); Round: 3 wells plated in duplicate (∆pmrA only), 2 plates for control wells</t>
  </si>
  <si>
    <r>
      <t>∆</t>
    </r>
    <r>
      <rPr>
        <i/>
        <sz val="12"/>
        <color theme="1"/>
        <rFont val="Calibri"/>
        <family val="2"/>
        <scheme val="minor"/>
      </rPr>
      <t xml:space="preserve">pmrA </t>
    </r>
  </si>
  <si>
    <t>LVS mtip2</t>
  </si>
  <si>
    <r>
      <t>∆</t>
    </r>
    <r>
      <rPr>
        <i/>
        <sz val="12"/>
        <color theme="1"/>
        <rFont val="Calibri"/>
        <family val="2"/>
        <scheme val="minor"/>
      </rPr>
      <t>pmrA mtip2</t>
    </r>
  </si>
  <si>
    <t>∆pmrA mtip2</t>
  </si>
  <si>
    <r>
      <t>∆</t>
    </r>
    <r>
      <rPr>
        <b/>
        <i/>
        <sz val="12"/>
        <color theme="1"/>
        <rFont val="Calibri"/>
        <family val="2"/>
        <scheme val="minor"/>
      </rPr>
      <t xml:space="preserve">pmrA </t>
    </r>
  </si>
  <si>
    <r>
      <t>∆</t>
    </r>
    <r>
      <rPr>
        <i/>
        <sz val="12"/>
        <color theme="1"/>
        <rFont val="Calibri"/>
        <family val="2"/>
        <scheme val="minor"/>
      </rPr>
      <t xml:space="preserve">pmrA </t>
    </r>
    <r>
      <rPr>
        <sz val="12"/>
        <color theme="1"/>
        <rFont val="Calibri"/>
        <family val="2"/>
        <scheme val="minor"/>
      </rPr>
      <t>mtip2</t>
    </r>
  </si>
  <si>
    <r>
      <t>∆</t>
    </r>
    <r>
      <rPr>
        <b/>
        <i/>
        <sz val="12"/>
        <color theme="1"/>
        <rFont val="Calibri"/>
        <family val="2"/>
        <scheme val="minor"/>
      </rPr>
      <t>pmrA</t>
    </r>
    <r>
      <rPr>
        <b/>
        <sz val="12"/>
        <color theme="1"/>
        <rFont val="Calibri"/>
        <family val="2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</si>
</sst>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1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11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right"/>
    </xf>
    <xf numFmtId="0" fontId="1" fillId="2" borderId="1" xfId="0" applyFont="1" applyFill="1" applyBorder="1" applyAlignment="1">
      <alignment wrapText="1"/>
    </xf>
    <xf numFmtId="0" fontId="0" fillId="0" borderId="7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7" xfId="0" applyFont="1" applyBorder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20" fontId="0" fillId="3" borderId="6" xfId="0" applyNumberForma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5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0773057437587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'T=24'!$P$2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'T=24'!$Q$3:$Q$6</c:f>
                <c:numCache>
                  <c:formatCode>General</c:formatCode>
                  <c:ptCount val="4"/>
                  <c:pt idx="0">
                    <c:v>4932.8828623162481</c:v>
                  </c:pt>
                  <c:pt idx="1">
                    <c:v>1652.2711641858307</c:v>
                  </c:pt>
                  <c:pt idx="2">
                    <c:v>838.64970836060866</c:v>
                  </c:pt>
                  <c:pt idx="3">
                    <c:v>130.61903893894356</c:v>
                  </c:pt>
                </c:numCache>
              </c:numRef>
            </c:plus>
            <c:minus>
              <c:numRef>
                <c:f>'T=24'!$Q$3:$Q$6</c:f>
                <c:numCache>
                  <c:formatCode>General</c:formatCode>
                  <c:ptCount val="4"/>
                  <c:pt idx="0">
                    <c:v>4932.8828623162481</c:v>
                  </c:pt>
                  <c:pt idx="1">
                    <c:v>1652.2711641858307</c:v>
                  </c:pt>
                  <c:pt idx="2">
                    <c:v>838.64970836060866</c:v>
                  </c:pt>
                  <c:pt idx="3">
                    <c:v>130.61903893894356</c:v>
                  </c:pt>
                </c:numCache>
              </c:numRef>
            </c:minus>
          </c:errBars>
          <c:cat>
            <c:strRef>
              <c:f>'T=24'!$O$3:$O$6</c:f>
              <c:strCache>
                <c:ptCount val="4"/>
                <c:pt idx="0">
                  <c:v>LVS</c:v>
                </c:pt>
                <c:pt idx="1">
                  <c:v>LVS mtip2</c:v>
                </c:pt>
                <c:pt idx="2">
                  <c:v>∆pmrA mtip2</c:v>
                </c:pt>
                <c:pt idx="3">
                  <c:v>∆pmrA </c:v>
                </c:pt>
              </c:strCache>
            </c:strRef>
          </c:cat>
          <c:val>
            <c:numRef>
              <c:f>'T=24'!$P$3:$P$6</c:f>
              <c:numCache>
                <c:formatCode>0.00E+00</c:formatCode>
                <c:ptCount val="4"/>
                <c:pt idx="0">
                  <c:v>11333.333333333334</c:v>
                </c:pt>
                <c:pt idx="1">
                  <c:v>10100</c:v>
                </c:pt>
                <c:pt idx="2">
                  <c:v>2433.3333333333335</c:v>
                </c:pt>
                <c:pt idx="3">
                  <c:v>998.66666666666663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C-1340-A0AC-6C65CBE06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Inoculum!$B$13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Inoculum!$C$14:$C$17</c:f>
                <c:numCache>
                  <c:formatCode>General</c:formatCode>
                  <c:ptCount val="4"/>
                  <c:pt idx="0">
                    <c:v>17677.669529663686</c:v>
                  </c:pt>
                  <c:pt idx="1">
                    <c:v>31819.80515339466</c:v>
                  </c:pt>
                  <c:pt idx="2">
                    <c:v>17677.669529663621</c:v>
                  </c:pt>
                  <c:pt idx="3">
                    <c:v>14142.135623730908</c:v>
                  </c:pt>
                </c:numCache>
              </c:numRef>
            </c:plus>
            <c:minus>
              <c:numRef>
                <c:f>Inoculum!$C$14:$C$17</c:f>
                <c:numCache>
                  <c:formatCode>General</c:formatCode>
                  <c:ptCount val="4"/>
                  <c:pt idx="0">
                    <c:v>17677.669529663686</c:v>
                  </c:pt>
                  <c:pt idx="1">
                    <c:v>31819.80515339466</c:v>
                  </c:pt>
                  <c:pt idx="2">
                    <c:v>17677.669529663621</c:v>
                  </c:pt>
                  <c:pt idx="3">
                    <c:v>14142.135623730908</c:v>
                  </c:pt>
                </c:numCache>
              </c:numRef>
            </c:minus>
          </c:errBars>
          <c:cat>
            <c:strRef>
              <c:f>Inoculum!$A$14:$A$17</c:f>
              <c:strCache>
                <c:ptCount val="4"/>
                <c:pt idx="0">
                  <c:v>LVS</c:v>
                </c:pt>
                <c:pt idx="1">
                  <c:v>LVS mtip2</c:v>
                </c:pt>
                <c:pt idx="2">
                  <c:v>∆pmrA mtip2</c:v>
                </c:pt>
                <c:pt idx="3">
                  <c:v>∆pmrA </c:v>
                </c:pt>
              </c:strCache>
            </c:strRef>
          </c:cat>
          <c:val>
            <c:numRef>
              <c:f>Inoculum!$B$14:$B$17</c:f>
              <c:numCache>
                <c:formatCode>0.00E+00</c:formatCode>
                <c:ptCount val="4"/>
                <c:pt idx="0">
                  <c:v>117500</c:v>
                </c:pt>
                <c:pt idx="1">
                  <c:v>72499.999999999985</c:v>
                </c:pt>
                <c:pt idx="2">
                  <c:v>82500</c:v>
                </c:pt>
                <c:pt idx="3">
                  <c:v>65000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7-9243-A823-DF797AE1F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6</xdr:row>
      <xdr:rowOff>152400</xdr:rowOff>
    </xdr:from>
    <xdr:to>
      <xdr:col>21</xdr:col>
      <xdr:colOff>457200</xdr:colOff>
      <xdr:row>23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158750</xdr:colOff>
      <xdr:row>12</xdr:row>
      <xdr:rowOff>25400</xdr:rowOff>
    </xdr:from>
    <xdr:to>
      <xdr:col>10</xdr:col>
      <xdr:colOff>527050</xdr:colOff>
      <xdr:row>27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_10_2019MacAss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rimentalSetup"/>
      <sheetName val="Sheet1"/>
      <sheetName val="T=24 "/>
      <sheetName val="Plate Needs"/>
      <sheetName val="Inoculum"/>
      <sheetName val="T=2"/>
    </sheetNames>
    <sheetDataSet>
      <sheetData sheetId="0"/>
      <sheetData sheetId="1"/>
      <sheetData sheetId="2"/>
      <sheetData sheetId="3"/>
      <sheetData sheetId="4"/>
      <sheetData sheetId="5">
        <row r="3">
          <cell r="J3" t="str">
            <v>LVS</v>
          </cell>
          <cell r="K3">
            <v>16</v>
          </cell>
          <cell r="L3">
            <v>3.4641016151377544</v>
          </cell>
        </row>
        <row r="4">
          <cell r="J4" t="str">
            <v>LVS mtip2</v>
          </cell>
          <cell r="K4">
            <v>8</v>
          </cell>
          <cell r="L4">
            <v>0</v>
          </cell>
        </row>
        <row r="5">
          <cell r="J5" t="str">
            <v>∆pmrA mtip2</v>
          </cell>
          <cell r="K5">
            <v>16</v>
          </cell>
          <cell r="L5">
            <v>2.8284271247461903</v>
          </cell>
        </row>
        <row r="6">
          <cell r="J6" t="str">
            <v>∆pmrA</v>
          </cell>
          <cell r="K6">
            <v>8.6666666666666661</v>
          </cell>
          <cell r="L6">
            <v>4.6188021535170058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9"/>
  <sheetViews>
    <sheetView showRuler="0" topLeftCell="C1" zoomScale="68" zoomScaleNormal="125" zoomScalePageLayoutView="125" workbookViewId="0">
      <selection activeCell="J13" sqref="J13"/>
    </sheetView>
  </sheetViews>
  <sheetFormatPr defaultColWidth="10.6640625" defaultRowHeight="15.5" x14ac:dyDescent="0.35"/>
  <cols>
    <col min="1" max="1" width="2.6640625" bestFit="1" customWidth="1"/>
    <col min="2" max="4" width="12" bestFit="1" customWidth="1"/>
    <col min="5" max="5" width="4.33203125" customWidth="1"/>
    <col min="6" max="8" width="10.83203125" bestFit="1" customWidth="1"/>
    <col min="9" max="9" width="4.33203125" customWidth="1"/>
    <col min="10" max="10" width="16.33203125" customWidth="1"/>
    <col min="11" max="13" width="4.33203125" customWidth="1"/>
    <col min="14" max="14" width="3.5" customWidth="1"/>
    <col min="15" max="15" width="29.6640625" bestFit="1" customWidth="1"/>
    <col min="16" max="16" width="8.83203125" bestFit="1" customWidth="1"/>
    <col min="18" max="18" width="26" bestFit="1" customWidth="1"/>
    <col min="19" max="19" width="15.33203125" bestFit="1" customWidth="1"/>
  </cols>
  <sheetData>
    <row r="1" spans="1:24" ht="16" thickBot="1" x14ac:dyDescent="0.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O1" s="3" t="s">
        <v>1</v>
      </c>
      <c r="P1" s="3" t="s">
        <v>69</v>
      </c>
      <c r="Q1" s="3" t="s">
        <v>70</v>
      </c>
    </row>
    <row r="2" spans="1:24" x14ac:dyDescent="0.35">
      <c r="A2" s="4" t="s">
        <v>2</v>
      </c>
      <c r="B2" s="9" t="s">
        <v>30</v>
      </c>
      <c r="C2" s="9" t="s">
        <v>30</v>
      </c>
      <c r="D2" s="9" t="s">
        <v>30</v>
      </c>
      <c r="E2" s="6"/>
      <c r="F2" s="44" t="s">
        <v>93</v>
      </c>
      <c r="G2" s="44" t="s">
        <v>93</v>
      </c>
      <c r="H2" s="44" t="s">
        <v>93</v>
      </c>
      <c r="I2" s="5"/>
      <c r="J2" s="6" t="s">
        <v>65</v>
      </c>
      <c r="K2" s="6"/>
      <c r="L2" s="6"/>
      <c r="M2" s="6"/>
      <c r="O2" s="1" t="s">
        <v>4</v>
      </c>
      <c r="P2" s="7">
        <v>20000</v>
      </c>
      <c r="Q2" s="7">
        <v>20000</v>
      </c>
    </row>
    <row r="3" spans="1:24" x14ac:dyDescent="0.35">
      <c r="A3" s="4" t="s">
        <v>5</v>
      </c>
      <c r="B3" s="8"/>
      <c r="C3" s="1"/>
      <c r="D3" s="9"/>
      <c r="E3" s="9"/>
      <c r="F3" s="9"/>
      <c r="G3" s="9"/>
      <c r="H3" s="9"/>
      <c r="I3" s="9"/>
      <c r="J3" s="9"/>
      <c r="K3" s="9"/>
      <c r="L3" s="10"/>
      <c r="M3" s="1"/>
      <c r="O3" s="1" t="s">
        <v>6</v>
      </c>
      <c r="P3" s="1">
        <v>0.2</v>
      </c>
      <c r="Q3" s="1">
        <v>0.2</v>
      </c>
    </row>
    <row r="4" spans="1:24" x14ac:dyDescent="0.35">
      <c r="A4" s="4" t="s">
        <v>7</v>
      </c>
      <c r="B4" s="6"/>
      <c r="C4" s="6"/>
      <c r="D4" s="6"/>
      <c r="E4" s="9"/>
      <c r="F4" s="6"/>
      <c r="G4" s="6"/>
      <c r="H4" s="6"/>
      <c r="I4" s="9"/>
      <c r="J4" s="6"/>
      <c r="K4" s="6"/>
      <c r="L4" s="6"/>
      <c r="M4" s="1"/>
      <c r="O4" s="1" t="s">
        <v>8</v>
      </c>
      <c r="P4" s="7">
        <f>P2/P3</f>
        <v>100000</v>
      </c>
      <c r="Q4" s="7">
        <f>Q2/Q3</f>
        <v>100000</v>
      </c>
    </row>
    <row r="5" spans="1:24" x14ac:dyDescent="0.35">
      <c r="A5" s="4" t="s">
        <v>9</v>
      </c>
      <c r="B5" s="9" t="s">
        <v>94</v>
      </c>
      <c r="C5" s="9" t="s">
        <v>94</v>
      </c>
      <c r="D5" s="9" t="s">
        <v>94</v>
      </c>
      <c r="E5" s="9"/>
      <c r="F5" s="6" t="s">
        <v>92</v>
      </c>
      <c r="G5" s="6" t="s">
        <v>92</v>
      </c>
      <c r="H5" s="6" t="s">
        <v>92</v>
      </c>
      <c r="I5" s="9"/>
      <c r="J5" s="6" t="s">
        <v>3</v>
      </c>
      <c r="K5" s="6"/>
      <c r="M5" s="1"/>
      <c r="O5" s="1" t="s">
        <v>10</v>
      </c>
      <c r="P5" s="1">
        <v>7</v>
      </c>
      <c r="Q5" s="1">
        <v>7</v>
      </c>
    </row>
    <row r="6" spans="1:24" x14ac:dyDescent="0.35">
      <c r="A6" s="4" t="s">
        <v>11</v>
      </c>
      <c r="B6" s="8"/>
      <c r="C6" s="11"/>
      <c r="D6" s="9"/>
      <c r="E6" s="10"/>
      <c r="F6" s="9"/>
      <c r="G6" s="9"/>
      <c r="H6" s="9"/>
      <c r="I6" s="10"/>
      <c r="J6" s="10"/>
      <c r="K6" s="10"/>
      <c r="L6" s="10"/>
      <c r="M6" s="1"/>
      <c r="O6" s="1" t="s">
        <v>12</v>
      </c>
      <c r="P6" s="7">
        <v>60800</v>
      </c>
      <c r="Q6" s="7">
        <v>210000</v>
      </c>
    </row>
    <row r="7" spans="1:24" x14ac:dyDescent="0.35">
      <c r="A7" s="4" t="s">
        <v>13</v>
      </c>
      <c r="B7" s="8"/>
      <c r="C7" s="10"/>
      <c r="D7" s="9"/>
      <c r="E7" s="10"/>
      <c r="F7" s="1"/>
      <c r="G7" s="10"/>
      <c r="H7" s="12"/>
      <c r="I7" s="10"/>
      <c r="J7" s="10"/>
      <c r="K7" s="10"/>
      <c r="L7" s="10"/>
      <c r="M7" s="1"/>
      <c r="O7" s="1" t="s">
        <v>14</v>
      </c>
      <c r="P7" s="28"/>
      <c r="Q7" s="28">
        <v>3.5</v>
      </c>
      <c r="R7" s="14"/>
    </row>
    <row r="8" spans="1:24" x14ac:dyDescent="0.35">
      <c r="A8" s="4" t="s">
        <v>15</v>
      </c>
      <c r="B8" s="8"/>
      <c r="C8" s="11"/>
      <c r="D8" s="9"/>
      <c r="E8" s="9"/>
      <c r="F8" s="9"/>
      <c r="G8" s="9"/>
      <c r="H8" s="9"/>
      <c r="I8" s="1"/>
      <c r="J8" s="9"/>
      <c r="K8" s="9"/>
      <c r="L8" s="9"/>
      <c r="M8" s="9"/>
      <c r="O8" s="1" t="s">
        <v>16</v>
      </c>
      <c r="P8" s="28"/>
      <c r="Q8" s="28">
        <f>Q5-Q7</f>
        <v>3.5</v>
      </c>
      <c r="V8" s="14"/>
      <c r="X8" s="14"/>
    </row>
    <row r="9" spans="1:24" x14ac:dyDescent="0.35">
      <c r="A9" s="4" t="s">
        <v>17</v>
      </c>
      <c r="B9" s="8"/>
      <c r="C9" s="11"/>
      <c r="D9" s="9"/>
      <c r="E9" s="1"/>
      <c r="F9" s="1"/>
      <c r="G9" s="1"/>
      <c r="H9" s="7"/>
      <c r="I9" s="1"/>
      <c r="J9" s="1"/>
      <c r="K9" s="1"/>
      <c r="L9" s="1"/>
      <c r="M9" s="1"/>
      <c r="O9" s="1" t="s">
        <v>18</v>
      </c>
      <c r="P9" s="7">
        <v>60800</v>
      </c>
      <c r="Q9" s="7">
        <v>92500</v>
      </c>
    </row>
    <row r="10" spans="1:24" x14ac:dyDescent="0.35">
      <c r="H10" s="14"/>
      <c r="O10" s="1" t="s">
        <v>19</v>
      </c>
      <c r="P10" s="7">
        <f>P9*0.2</f>
        <v>12160</v>
      </c>
      <c r="Q10" s="7">
        <f>Q9*0.2</f>
        <v>18500</v>
      </c>
    </row>
    <row r="15" spans="1:24" x14ac:dyDescent="0.35">
      <c r="C15" s="15"/>
      <c r="P15" t="s">
        <v>21</v>
      </c>
    </row>
    <row r="16" spans="1:24" ht="16" thickBot="1" x14ac:dyDescent="0.4">
      <c r="A16" s="1" t="s">
        <v>0</v>
      </c>
      <c r="B16" s="2">
        <v>1</v>
      </c>
      <c r="C16" s="2">
        <v>2</v>
      </c>
      <c r="D16" s="2">
        <v>3</v>
      </c>
      <c r="E16" s="2">
        <v>4</v>
      </c>
      <c r="F16" s="2">
        <v>5</v>
      </c>
      <c r="G16" s="2">
        <v>6</v>
      </c>
      <c r="H16" s="2">
        <v>7</v>
      </c>
      <c r="I16" s="2">
        <v>8</v>
      </c>
      <c r="J16" s="2">
        <v>9</v>
      </c>
      <c r="K16" s="2">
        <v>10</v>
      </c>
      <c r="L16" s="2">
        <v>11</v>
      </c>
      <c r="M16" s="2">
        <v>12</v>
      </c>
      <c r="O16" s="3" t="s">
        <v>20</v>
      </c>
      <c r="P16" s="3" t="s">
        <v>69</v>
      </c>
      <c r="Q16" s="3" t="s">
        <v>70</v>
      </c>
    </row>
    <row r="17" spans="1:18" x14ac:dyDescent="0.35">
      <c r="A17" s="4" t="s">
        <v>2</v>
      </c>
      <c r="B17" s="9" t="s">
        <v>30</v>
      </c>
      <c r="C17" s="9" t="s">
        <v>30</v>
      </c>
      <c r="D17" s="9" t="s">
        <v>30</v>
      </c>
      <c r="E17" s="6"/>
      <c r="F17" s="44" t="s">
        <v>93</v>
      </c>
      <c r="G17" s="44" t="s">
        <v>93</v>
      </c>
      <c r="H17" s="44" t="s">
        <v>93</v>
      </c>
      <c r="I17" s="5"/>
      <c r="J17" s="6" t="s">
        <v>65</v>
      </c>
      <c r="K17" s="6"/>
      <c r="L17" s="6"/>
      <c r="M17" s="6"/>
      <c r="O17" s="1" t="s">
        <v>22</v>
      </c>
      <c r="P17" s="17">
        <v>5</v>
      </c>
      <c r="Q17" s="17">
        <v>5</v>
      </c>
    </row>
    <row r="18" spans="1:18" x14ac:dyDescent="0.35">
      <c r="A18" s="4" t="s">
        <v>5</v>
      </c>
      <c r="B18" s="8"/>
      <c r="C18" s="1"/>
      <c r="D18" s="9"/>
      <c r="E18" s="9"/>
      <c r="F18" s="9"/>
      <c r="G18" s="9"/>
      <c r="H18" s="9"/>
      <c r="I18" s="9"/>
      <c r="J18" s="9"/>
      <c r="K18" s="9"/>
      <c r="L18" s="10"/>
      <c r="M18" s="1"/>
      <c r="O18" s="1" t="s">
        <v>23</v>
      </c>
      <c r="P18" s="18">
        <f>P10</f>
        <v>12160</v>
      </c>
      <c r="Q18" s="18">
        <f>Q10</f>
        <v>18500</v>
      </c>
    </row>
    <row r="19" spans="1:18" x14ac:dyDescent="0.35">
      <c r="A19" s="4" t="s">
        <v>7</v>
      </c>
      <c r="B19" s="6"/>
      <c r="C19" s="6"/>
      <c r="D19" s="6"/>
      <c r="E19" s="9"/>
      <c r="F19" s="6"/>
      <c r="G19" s="6"/>
      <c r="H19" s="6"/>
      <c r="I19" s="9"/>
      <c r="J19" s="6"/>
      <c r="K19" s="6"/>
      <c r="L19" s="6"/>
      <c r="M19" s="1"/>
      <c r="O19" s="1" t="s">
        <v>24</v>
      </c>
      <c r="P19" s="17">
        <v>0.05</v>
      </c>
      <c r="Q19" s="17">
        <v>0.05</v>
      </c>
    </row>
    <row r="20" spans="1:18" ht="31" x14ac:dyDescent="0.35">
      <c r="A20" s="4" t="s">
        <v>9</v>
      </c>
      <c r="B20" s="9" t="s">
        <v>94</v>
      </c>
      <c r="C20" s="9" t="s">
        <v>94</v>
      </c>
      <c r="D20" s="9" t="s">
        <v>94</v>
      </c>
      <c r="E20" s="9"/>
      <c r="F20" s="6" t="s">
        <v>92</v>
      </c>
      <c r="G20" s="6" t="s">
        <v>92</v>
      </c>
      <c r="H20" s="6" t="s">
        <v>92</v>
      </c>
      <c r="I20" s="9"/>
      <c r="J20" s="6" t="s">
        <v>3</v>
      </c>
      <c r="K20" s="6"/>
      <c r="M20" s="1"/>
      <c r="O20" s="19" t="s">
        <v>25</v>
      </c>
      <c r="P20" s="18">
        <f>(P18*P17/P19)</f>
        <v>1216000</v>
      </c>
      <c r="Q20" s="18">
        <f>(Q18*Q17/Q19)</f>
        <v>1850000</v>
      </c>
    </row>
    <row r="21" spans="1:18" x14ac:dyDescent="0.35">
      <c r="A21" s="4" t="s">
        <v>11</v>
      </c>
      <c r="B21" s="8"/>
      <c r="C21" s="11"/>
      <c r="D21" s="9"/>
      <c r="E21" s="10"/>
      <c r="F21" s="9"/>
      <c r="G21" s="9"/>
      <c r="H21" s="9"/>
      <c r="I21" s="10"/>
      <c r="J21" s="10"/>
      <c r="K21" s="10"/>
      <c r="L21" s="10"/>
      <c r="M21" s="1"/>
      <c r="O21" s="1" t="s">
        <v>26</v>
      </c>
      <c r="P21" s="18">
        <v>5810000000</v>
      </c>
      <c r="Q21" s="18">
        <v>5810000000</v>
      </c>
    </row>
    <row r="22" spans="1:18" x14ac:dyDescent="0.35">
      <c r="A22" s="4" t="s">
        <v>13</v>
      </c>
      <c r="B22" s="8"/>
      <c r="C22" s="10"/>
      <c r="D22" s="9"/>
      <c r="E22" s="10"/>
      <c r="F22" s="1"/>
      <c r="G22" s="10"/>
      <c r="H22" s="12"/>
      <c r="I22" s="10"/>
      <c r="J22" s="10"/>
      <c r="K22" s="10"/>
      <c r="L22" s="10"/>
      <c r="M22" s="1"/>
      <c r="O22" s="1" t="s">
        <v>27</v>
      </c>
      <c r="P22" s="20">
        <f>P20/P21</f>
        <v>2.0929432013769362E-4</v>
      </c>
      <c r="Q22" s="20">
        <f>Q20/Q21</f>
        <v>3.1841652323580036E-4</v>
      </c>
    </row>
    <row r="23" spans="1:18" x14ac:dyDescent="0.35">
      <c r="A23" s="4" t="s">
        <v>15</v>
      </c>
      <c r="B23" s="8"/>
      <c r="C23" s="11"/>
      <c r="D23" s="9"/>
      <c r="E23" s="9"/>
      <c r="F23" s="9"/>
      <c r="G23" s="9"/>
      <c r="H23" s="9"/>
      <c r="I23" s="1"/>
      <c r="J23" s="9"/>
      <c r="K23" s="9"/>
      <c r="L23" s="9"/>
      <c r="M23" s="9"/>
      <c r="O23" s="1" t="s">
        <v>28</v>
      </c>
      <c r="P23" s="21">
        <v>2.5000000000000001E-2</v>
      </c>
      <c r="Q23" s="21">
        <v>0.03</v>
      </c>
    </row>
    <row r="24" spans="1:18" x14ac:dyDescent="0.35">
      <c r="A24" s="4" t="s">
        <v>17</v>
      </c>
      <c r="B24" s="8"/>
      <c r="C24" s="11"/>
      <c r="D24" s="9"/>
      <c r="E24" s="1"/>
      <c r="F24" s="1"/>
      <c r="G24" s="1"/>
      <c r="H24" s="7"/>
      <c r="I24" s="1"/>
      <c r="J24" s="1"/>
      <c r="K24" s="1"/>
      <c r="L24" s="1"/>
      <c r="M24" s="1"/>
      <c r="O24" s="1" t="s">
        <v>29</v>
      </c>
      <c r="P24" s="1">
        <f>P23/100</f>
        <v>2.5000000000000001E-4</v>
      </c>
      <c r="Q24" s="1">
        <f>Q23/100</f>
        <v>2.9999999999999997E-4</v>
      </c>
    </row>
    <row r="25" spans="1:18" x14ac:dyDescent="0.35">
      <c r="C25" s="15"/>
    </row>
    <row r="26" spans="1:18" x14ac:dyDescent="0.35">
      <c r="C26" s="15"/>
      <c r="G26" s="10">
        <v>1</v>
      </c>
      <c r="H26" s="9" t="s">
        <v>30</v>
      </c>
      <c r="P26" t="s">
        <v>0</v>
      </c>
    </row>
    <row r="27" spans="1:18" x14ac:dyDescent="0.35">
      <c r="G27" s="10">
        <v>2</v>
      </c>
      <c r="H27" s="44" t="s">
        <v>93</v>
      </c>
      <c r="K27" t="s">
        <v>0</v>
      </c>
    </row>
    <row r="28" spans="1:18" ht="31" x14ac:dyDescent="0.35">
      <c r="G28" s="10">
        <v>3</v>
      </c>
      <c r="H28" s="9" t="s">
        <v>94</v>
      </c>
    </row>
    <row r="29" spans="1:18" x14ac:dyDescent="0.35">
      <c r="G29" s="10">
        <v>4</v>
      </c>
      <c r="H29" s="6" t="s">
        <v>68</v>
      </c>
      <c r="R29" s="14"/>
    </row>
  </sheetData>
  <phoneticPr fontId="3" type="noConversion"/>
  <pageMargins left="0.75" right="0.75" top="1" bottom="1" header="0.5" footer="0.5"/>
  <pageSetup scale="69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1BB3C-F057-4DC1-A4BC-265ABDBB76EC}">
  <dimension ref="A1:M9"/>
  <sheetViews>
    <sheetView workbookViewId="0">
      <selection activeCell="E3" sqref="E3"/>
    </sheetView>
  </sheetViews>
  <sheetFormatPr defaultRowHeight="15.5" x14ac:dyDescent="0.35"/>
  <cols>
    <col min="2" max="2" width="11.25" bestFit="1" customWidth="1"/>
    <col min="7" max="7" width="20.83203125" customWidth="1"/>
  </cols>
  <sheetData>
    <row r="1" spans="1:13" ht="16" thickBot="1" x14ac:dyDescent="0.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</row>
    <row r="2" spans="1:13" x14ac:dyDescent="0.35">
      <c r="A2" s="4" t="s">
        <v>2</v>
      </c>
      <c r="B2" s="9"/>
      <c r="C2" s="9"/>
      <c r="D2" s="9"/>
      <c r="E2" s="6"/>
      <c r="F2" s="9"/>
      <c r="G2" s="9" t="s">
        <v>88</v>
      </c>
      <c r="H2" s="9"/>
      <c r="I2" s="5"/>
      <c r="J2" s="6"/>
      <c r="K2" s="6"/>
      <c r="L2" s="6"/>
      <c r="M2" s="6"/>
    </row>
    <row r="3" spans="1:13" x14ac:dyDescent="0.35">
      <c r="A3" s="4" t="s">
        <v>5</v>
      </c>
      <c r="B3" s="43">
        <v>4.8611111111111112E-2</v>
      </c>
      <c r="C3" s="40"/>
      <c r="D3" s="41"/>
      <c r="E3" s="41"/>
      <c r="F3" s="9"/>
      <c r="G3" s="9" t="s">
        <v>89</v>
      </c>
      <c r="H3" s="9"/>
      <c r="I3" s="9"/>
      <c r="J3" s="9"/>
      <c r="K3" s="9"/>
      <c r="L3" s="10"/>
      <c r="M3" s="1"/>
    </row>
    <row r="4" spans="1:13" x14ac:dyDescent="0.35">
      <c r="A4" s="4" t="s">
        <v>7</v>
      </c>
      <c r="B4" s="42" t="str">
        <f>"1:100"</f>
        <v>1:100</v>
      </c>
      <c r="C4" s="42"/>
      <c r="D4" s="42"/>
      <c r="E4" s="41"/>
      <c r="F4" s="6"/>
      <c r="G4" s="6" t="s">
        <v>89</v>
      </c>
      <c r="H4" s="6"/>
      <c r="I4" s="9"/>
      <c r="J4" s="6"/>
      <c r="K4" s="6"/>
      <c r="L4" s="6"/>
      <c r="M4" s="1"/>
    </row>
    <row r="5" spans="1:13" x14ac:dyDescent="0.35">
      <c r="A5" s="4" t="s">
        <v>9</v>
      </c>
      <c r="B5" s="41" t="s">
        <v>90</v>
      </c>
      <c r="C5" s="41"/>
      <c r="D5" s="41"/>
      <c r="E5" s="41"/>
      <c r="F5" s="6"/>
      <c r="G5" s="6" t="s">
        <v>89</v>
      </c>
      <c r="H5" s="6"/>
      <c r="I5" s="9"/>
      <c r="J5" s="6"/>
      <c r="K5" s="6"/>
      <c r="M5" s="1"/>
    </row>
    <row r="6" spans="1:13" x14ac:dyDescent="0.35">
      <c r="A6" s="4" t="s">
        <v>11</v>
      </c>
      <c r="B6" s="8"/>
      <c r="C6" s="11"/>
      <c r="D6" s="9"/>
      <c r="E6" s="10"/>
      <c r="F6" s="9"/>
      <c r="G6" s="9"/>
      <c r="H6" s="9"/>
      <c r="I6" s="10"/>
      <c r="J6" s="10"/>
      <c r="K6" s="10"/>
      <c r="L6" s="10"/>
      <c r="M6" s="1"/>
    </row>
    <row r="7" spans="1:13" x14ac:dyDescent="0.35">
      <c r="A7" s="4" t="s">
        <v>13</v>
      </c>
      <c r="B7" s="8"/>
      <c r="C7" s="10"/>
      <c r="D7" s="9"/>
      <c r="E7" s="10"/>
      <c r="F7" s="1"/>
      <c r="G7" s="10"/>
      <c r="H7" s="12"/>
      <c r="I7" s="10"/>
      <c r="J7" s="10"/>
      <c r="K7" s="10"/>
      <c r="L7" s="10"/>
      <c r="M7" s="1"/>
    </row>
    <row r="8" spans="1:13" x14ac:dyDescent="0.35">
      <c r="A8" s="4" t="s">
        <v>15</v>
      </c>
      <c r="B8" s="8"/>
      <c r="C8" s="11"/>
      <c r="D8" s="9"/>
      <c r="E8" s="9"/>
      <c r="F8" s="9"/>
      <c r="G8" s="9"/>
      <c r="H8" s="9"/>
      <c r="I8" s="1"/>
      <c r="J8" s="9"/>
      <c r="K8" s="9"/>
      <c r="L8" s="9"/>
      <c r="M8" s="9"/>
    </row>
    <row r="9" spans="1:13" x14ac:dyDescent="0.35">
      <c r="A9" s="4" t="s">
        <v>17</v>
      </c>
      <c r="B9" s="8"/>
      <c r="C9" s="11"/>
      <c r="D9" s="9"/>
      <c r="E9" s="1"/>
      <c r="F9" s="1"/>
      <c r="G9" s="1"/>
      <c r="H9" s="7"/>
      <c r="I9" s="1"/>
      <c r="J9" s="1"/>
      <c r="K9" s="1"/>
      <c r="L9" s="1"/>
      <c r="M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26"/>
  <sheetViews>
    <sheetView showRuler="0" topLeftCell="B1" workbookViewId="0">
      <selection activeCell="K9" sqref="K9"/>
    </sheetView>
  </sheetViews>
  <sheetFormatPr defaultColWidth="10.6640625" defaultRowHeight="15.5" x14ac:dyDescent="0.35"/>
  <cols>
    <col min="1" max="1" width="20.33203125" bestFit="1" customWidth="1"/>
    <col min="2" max="2" width="5.5" bestFit="1" customWidth="1"/>
    <col min="3" max="5" width="6" bestFit="1" customWidth="1"/>
    <col min="6" max="6" width="6" customWidth="1"/>
    <col min="7" max="9" width="6" bestFit="1" customWidth="1"/>
    <col min="10" max="10" width="6" customWidth="1"/>
    <col min="11" max="11" width="8.1640625" bestFit="1" customWidth="1"/>
    <col min="12" max="12" width="7.83203125" bestFit="1" customWidth="1"/>
    <col min="13" max="13" width="8.83203125" bestFit="1" customWidth="1"/>
    <col min="14" max="14" width="2.1640625" customWidth="1"/>
    <col min="15" max="15" width="17" bestFit="1" customWidth="1"/>
    <col min="16" max="17" width="8.83203125" bestFit="1" customWidth="1"/>
    <col min="18" max="18" width="7.6640625" bestFit="1" customWidth="1"/>
    <col min="19" max="19" width="7.1640625" bestFit="1" customWidth="1"/>
    <col min="20" max="20" width="8.5" bestFit="1" customWidth="1"/>
  </cols>
  <sheetData>
    <row r="1" spans="1:22" x14ac:dyDescent="0.35">
      <c r="A1" s="3" t="s">
        <v>0</v>
      </c>
      <c r="B1" s="3"/>
      <c r="C1" s="47" t="s">
        <v>55</v>
      </c>
      <c r="D1" s="47"/>
      <c r="E1" s="47"/>
      <c r="F1" s="32"/>
      <c r="G1" s="47" t="s">
        <v>56</v>
      </c>
      <c r="H1" s="47"/>
      <c r="I1" s="47"/>
      <c r="J1" s="23"/>
    </row>
    <row r="2" spans="1:22" ht="46.5" x14ac:dyDescent="0.35">
      <c r="A2" s="22"/>
      <c r="B2" s="22" t="s">
        <v>50</v>
      </c>
      <c r="C2" s="22">
        <v>1</v>
      </c>
      <c r="D2" s="22">
        <v>2</v>
      </c>
      <c r="E2" s="25">
        <v>3</v>
      </c>
      <c r="F2" s="25">
        <v>4</v>
      </c>
      <c r="G2" s="22">
        <v>1</v>
      </c>
      <c r="H2" s="22">
        <v>2</v>
      </c>
      <c r="I2" s="25">
        <v>3</v>
      </c>
      <c r="J2" s="25">
        <v>4</v>
      </c>
      <c r="K2" s="36" t="s">
        <v>33</v>
      </c>
      <c r="L2" s="26" t="s">
        <v>51</v>
      </c>
      <c r="M2" s="26" t="s">
        <v>37</v>
      </c>
      <c r="N2" s="33"/>
      <c r="O2" s="1"/>
      <c r="P2" s="26" t="s">
        <v>52</v>
      </c>
      <c r="Q2" s="22" t="s">
        <v>53</v>
      </c>
      <c r="R2" s="36" t="s">
        <v>54</v>
      </c>
      <c r="S2" s="16" t="s">
        <v>67</v>
      </c>
      <c r="T2" s="16" t="s">
        <v>58</v>
      </c>
    </row>
    <row r="3" spans="1:22" x14ac:dyDescent="0.35">
      <c r="A3" s="48" t="s">
        <v>30</v>
      </c>
      <c r="B3" s="10" t="s">
        <v>38</v>
      </c>
      <c r="C3" s="17" t="s">
        <v>39</v>
      </c>
      <c r="D3" s="17"/>
      <c r="E3" s="30">
        <v>7</v>
      </c>
      <c r="F3" s="30"/>
      <c r="G3" s="17" t="s">
        <v>39</v>
      </c>
      <c r="H3" s="17"/>
      <c r="I3" s="30">
        <v>10</v>
      </c>
      <c r="J3" s="30"/>
      <c r="K3" s="17">
        <v>0.01</v>
      </c>
      <c r="L3" s="29">
        <f>AVERAGE(E3,I3)</f>
        <v>8.5</v>
      </c>
      <c r="M3" s="7">
        <f t="shared" ref="M3:M8" si="0">(L3/(0.01*K3))*0.2</f>
        <v>17000</v>
      </c>
      <c r="N3" s="14"/>
      <c r="O3" s="9" t="s">
        <v>30</v>
      </c>
      <c r="P3" s="7">
        <f>AVERAGE(M3:M5)</f>
        <v>11333.333333333334</v>
      </c>
      <c r="Q3" s="7">
        <f>STDEV(M3:M5)</f>
        <v>4932.8828623162481</v>
      </c>
      <c r="R3">
        <v>5.9</v>
      </c>
      <c r="S3" s="1"/>
      <c r="T3" s="13">
        <f>IF(P3/$P$3&gt;=1,P3/$P$3,-$P$3/P3)</f>
        <v>1</v>
      </c>
    </row>
    <row r="4" spans="1:22" x14ac:dyDescent="0.35">
      <c r="A4" s="48"/>
      <c r="B4" s="10" t="s">
        <v>41</v>
      </c>
      <c r="C4" s="17" t="s">
        <v>39</v>
      </c>
      <c r="D4" s="17"/>
      <c r="E4" s="30">
        <v>4</v>
      </c>
      <c r="F4" s="30"/>
      <c r="G4" s="17" t="s">
        <v>39</v>
      </c>
      <c r="H4" s="17"/>
      <c r="I4" s="30">
        <v>4</v>
      </c>
      <c r="J4" s="30"/>
      <c r="K4" s="17">
        <v>0.01</v>
      </c>
      <c r="L4" s="29">
        <f t="shared" ref="L4:L5" si="1">AVERAGE(E4,I4)</f>
        <v>4</v>
      </c>
      <c r="M4" s="7">
        <f t="shared" si="0"/>
        <v>8000</v>
      </c>
      <c r="N4" s="14"/>
      <c r="O4" s="9" t="s">
        <v>93</v>
      </c>
      <c r="P4" s="7">
        <f>AVERAGE(M6:M8)</f>
        <v>10100</v>
      </c>
      <c r="Q4" s="7">
        <f>STDEV(M6:M8)</f>
        <v>1652.2711641858307</v>
      </c>
      <c r="R4">
        <v>3.6</v>
      </c>
      <c r="S4" s="21">
        <f>TTEST(M3:M5,M6:M8,2,2)</f>
        <v>0.70238810725374878</v>
      </c>
      <c r="T4" s="13">
        <f>IF(P4/$P$3&gt;=1,P4/$P$3,-$P$3/P4)</f>
        <v>-1.1221122112211221</v>
      </c>
    </row>
    <row r="5" spans="1:22" x14ac:dyDescent="0.35">
      <c r="A5" s="48"/>
      <c r="B5" s="10" t="s">
        <v>59</v>
      </c>
      <c r="C5" s="17" t="s">
        <v>39</v>
      </c>
      <c r="D5" s="17"/>
      <c r="E5" s="30">
        <v>5</v>
      </c>
      <c r="F5" s="30"/>
      <c r="G5" s="17" t="s">
        <v>39</v>
      </c>
      <c r="H5" s="17"/>
      <c r="I5" s="30">
        <v>4</v>
      </c>
      <c r="J5" s="30"/>
      <c r="K5" s="17">
        <v>0.01</v>
      </c>
      <c r="L5" s="29">
        <f t="shared" si="1"/>
        <v>4.5</v>
      </c>
      <c r="M5" s="7">
        <f t="shared" si="0"/>
        <v>9000</v>
      </c>
      <c r="N5" s="14"/>
      <c r="O5" s="9" t="s">
        <v>95</v>
      </c>
      <c r="P5" s="7">
        <f>AVERAGE(M9:M11)</f>
        <v>2433.3333333333335</v>
      </c>
      <c r="Q5" s="7">
        <f>STDEV(M9:M11)</f>
        <v>838.64970836060866</v>
      </c>
      <c r="R5">
        <v>4.0999999999999996</v>
      </c>
      <c r="S5" s="21">
        <f>TTEST(M3:M5,M9:M11,2,2)</f>
        <v>3.6903152175954974E-2</v>
      </c>
      <c r="T5" s="13">
        <f>IF(P5/$P$3&gt;=1,P5/$P$3,-$P$3/P5)</f>
        <v>-4.6575342465753424</v>
      </c>
    </row>
    <row r="6" spans="1:22" x14ac:dyDescent="0.35">
      <c r="A6" s="49" t="s">
        <v>93</v>
      </c>
      <c r="B6" s="10" t="s">
        <v>42</v>
      </c>
      <c r="C6" s="17" t="s">
        <v>39</v>
      </c>
      <c r="D6" s="17"/>
      <c r="E6" s="30">
        <v>5</v>
      </c>
      <c r="F6" s="30"/>
      <c r="G6" s="17" t="s">
        <v>39</v>
      </c>
      <c r="H6" s="17"/>
      <c r="I6" s="30">
        <v>7</v>
      </c>
      <c r="J6" s="30"/>
      <c r="K6" s="17">
        <v>0.01</v>
      </c>
      <c r="L6" s="29">
        <f>AVERAGE(E6,I6)</f>
        <v>6</v>
      </c>
      <c r="M6" s="7">
        <f t="shared" si="0"/>
        <v>12000</v>
      </c>
      <c r="N6" s="14"/>
      <c r="O6" s="9" t="s">
        <v>92</v>
      </c>
      <c r="P6" s="7">
        <f>AVERAGE(M12:M14)</f>
        <v>998.66666666666663</v>
      </c>
      <c r="Q6" s="7">
        <f>STDEV(M12:M14)</f>
        <v>130.61903893894356</v>
      </c>
      <c r="R6">
        <v>3.3</v>
      </c>
      <c r="S6" s="21">
        <f>TTEST(M3:M5,M12:M14,2,2)</f>
        <v>2.2209567834086182E-2</v>
      </c>
      <c r="T6" s="13">
        <f>IF(P6/$P$3&gt;=1,P6/$P$3,-$P$3/P6)</f>
        <v>-11.348464619492658</v>
      </c>
      <c r="V6" s="14"/>
    </row>
    <row r="7" spans="1:22" ht="15" customHeight="1" x14ac:dyDescent="0.35">
      <c r="A7" s="46"/>
      <c r="B7" s="10" t="s">
        <v>43</v>
      </c>
      <c r="C7" s="17" t="s">
        <v>39</v>
      </c>
      <c r="D7" s="17">
        <v>54</v>
      </c>
      <c r="E7" s="30"/>
      <c r="F7" s="30"/>
      <c r="G7" s="17" t="s">
        <v>39</v>
      </c>
      <c r="H7" s="17">
        <v>39</v>
      </c>
      <c r="I7" s="30"/>
      <c r="J7" s="30"/>
      <c r="K7" s="17">
        <v>0.1</v>
      </c>
      <c r="L7" s="29">
        <f>AVERAGE(D7,H7)</f>
        <v>46.5</v>
      </c>
      <c r="M7" s="7">
        <f>(L7/(0.01*K7))*0.2</f>
        <v>9300</v>
      </c>
      <c r="N7" s="14"/>
    </row>
    <row r="8" spans="1:22" ht="15" customHeight="1" x14ac:dyDescent="0.35">
      <c r="A8" s="46"/>
      <c r="B8" s="10" t="s">
        <v>62</v>
      </c>
      <c r="C8" s="17" t="s">
        <v>39</v>
      </c>
      <c r="D8" s="17"/>
      <c r="E8" s="30">
        <v>4</v>
      </c>
      <c r="F8" s="30"/>
      <c r="G8" s="17" t="s">
        <v>39</v>
      </c>
      <c r="H8" s="17"/>
      <c r="I8" s="30">
        <v>5</v>
      </c>
      <c r="J8" s="30"/>
      <c r="K8" s="17">
        <v>0.01</v>
      </c>
      <c r="L8" s="29">
        <f>AVERAGE(E8,I8)</f>
        <v>4.5</v>
      </c>
      <c r="M8" s="7">
        <f t="shared" si="0"/>
        <v>9000</v>
      </c>
      <c r="N8" s="14"/>
    </row>
    <row r="9" spans="1:22" ht="15" customHeight="1" x14ac:dyDescent="0.35">
      <c r="A9" s="46" t="s">
        <v>95</v>
      </c>
      <c r="B9" s="10" t="s">
        <v>44</v>
      </c>
      <c r="C9" s="17" t="s">
        <v>39</v>
      </c>
      <c r="D9" s="30">
        <v>10</v>
      </c>
      <c r="E9" s="17"/>
      <c r="F9" s="17"/>
      <c r="G9" s="17" t="s">
        <v>39</v>
      </c>
      <c r="H9" s="30">
        <v>10</v>
      </c>
      <c r="I9" s="17"/>
      <c r="J9" s="17"/>
      <c r="K9" s="17">
        <v>0.1</v>
      </c>
      <c r="L9" s="1">
        <f>AVERAGE(D9,H9)</f>
        <v>10</v>
      </c>
      <c r="M9" s="7">
        <f>(L9/(0.01*K9))*0.2</f>
        <v>2000</v>
      </c>
      <c r="N9" s="14"/>
    </row>
    <row r="10" spans="1:22" x14ac:dyDescent="0.35">
      <c r="A10" s="46"/>
      <c r="B10" s="10" t="s">
        <v>45</v>
      </c>
      <c r="C10" s="17" t="s">
        <v>39</v>
      </c>
      <c r="D10" s="30">
        <v>26</v>
      </c>
      <c r="E10" s="17"/>
      <c r="F10" s="17"/>
      <c r="G10" s="17" t="s">
        <v>39</v>
      </c>
      <c r="H10" s="30">
        <v>8</v>
      </c>
      <c r="I10" s="17"/>
      <c r="J10" s="17"/>
      <c r="K10" s="17">
        <v>0.1</v>
      </c>
      <c r="L10" s="1">
        <f>AVERAGE(D10,H10)</f>
        <v>17</v>
      </c>
      <c r="M10" s="7">
        <f>(L10/(0.01*K10))*0.2</f>
        <v>3400</v>
      </c>
      <c r="N10" s="14"/>
    </row>
    <row r="11" spans="1:22" ht="15" customHeight="1" x14ac:dyDescent="0.35">
      <c r="A11" s="46"/>
      <c r="B11" s="10" t="s">
        <v>60</v>
      </c>
      <c r="C11" s="17" t="s">
        <v>39</v>
      </c>
      <c r="D11" s="30">
        <v>11</v>
      </c>
      <c r="E11" s="17"/>
      <c r="F11" s="17"/>
      <c r="G11" s="17" t="s">
        <v>39</v>
      </c>
      <c r="H11" s="30">
        <v>8</v>
      </c>
      <c r="I11" s="17"/>
      <c r="J11" s="17"/>
      <c r="K11" s="17">
        <v>0.1</v>
      </c>
      <c r="L11" s="1">
        <f>AVERAGE(D11,H11)</f>
        <v>9.5</v>
      </c>
      <c r="M11" s="7">
        <f>(L11/(0.01*K11))*0.2</f>
        <v>1900</v>
      </c>
      <c r="N11" s="14"/>
    </row>
    <row r="12" spans="1:22" ht="16" customHeight="1" x14ac:dyDescent="0.35">
      <c r="A12" s="46" t="s">
        <v>98</v>
      </c>
      <c r="B12" s="10" t="s">
        <v>46</v>
      </c>
      <c r="C12" s="30">
        <v>212</v>
      </c>
      <c r="D12" s="17"/>
      <c r="E12" s="30"/>
      <c r="F12" s="30"/>
      <c r="G12" s="35">
        <v>212</v>
      </c>
      <c r="H12" s="17"/>
      <c r="I12" s="30"/>
      <c r="J12" s="30"/>
      <c r="K12" s="17">
        <v>1</v>
      </c>
      <c r="L12" s="1">
        <f>AVERAGE(C12,G12)</f>
        <v>212</v>
      </c>
      <c r="M12" s="7">
        <f>(L12/(0.05*K12))*0.2</f>
        <v>848</v>
      </c>
      <c r="N12" s="14"/>
    </row>
    <row r="13" spans="1:22" ht="15" customHeight="1" x14ac:dyDescent="0.35">
      <c r="A13" s="46"/>
      <c r="B13" s="10" t="s">
        <v>47</v>
      </c>
      <c r="C13" s="30">
        <v>267</v>
      </c>
      <c r="D13" s="17"/>
      <c r="E13" s="30"/>
      <c r="F13" s="30"/>
      <c r="G13" s="30">
        <v>267</v>
      </c>
      <c r="H13" s="17"/>
      <c r="I13" s="30"/>
      <c r="J13" s="30"/>
      <c r="K13" s="17">
        <v>1</v>
      </c>
      <c r="L13" s="1">
        <f>AVERAGE(C13,G13)</f>
        <v>267</v>
      </c>
      <c r="M13" s="7">
        <f>(L13/(0.05*K13))*0.2</f>
        <v>1068</v>
      </c>
      <c r="N13" s="14"/>
    </row>
    <row r="14" spans="1:22" x14ac:dyDescent="0.35">
      <c r="A14" s="46"/>
      <c r="B14" s="10" t="s">
        <v>61</v>
      </c>
      <c r="C14" s="30">
        <v>270</v>
      </c>
      <c r="D14" s="30"/>
      <c r="E14" s="30"/>
      <c r="F14" s="30"/>
      <c r="G14" s="30">
        <v>270</v>
      </c>
      <c r="H14" s="30"/>
      <c r="I14" s="30"/>
      <c r="J14" s="30"/>
      <c r="K14" s="17">
        <v>1</v>
      </c>
      <c r="L14" s="1">
        <f>AVERAGE(C14,G14)</f>
        <v>270</v>
      </c>
      <c r="M14" s="7">
        <f>(L14/(0.05*K14))*0.2</f>
        <v>1080</v>
      </c>
      <c r="N14" s="14"/>
    </row>
    <row r="15" spans="1:22" x14ac:dyDescent="0.35">
      <c r="A15" s="31" t="s">
        <v>63</v>
      </c>
      <c r="B15" s="10"/>
      <c r="C15" s="17">
        <v>0</v>
      </c>
      <c r="D15" s="17" t="s">
        <v>40</v>
      </c>
      <c r="E15" s="17" t="s">
        <v>40</v>
      </c>
      <c r="F15" s="17"/>
      <c r="G15" s="17" t="s">
        <v>40</v>
      </c>
      <c r="H15" s="17" t="s">
        <v>40</v>
      </c>
      <c r="I15" s="17" t="s">
        <v>40</v>
      </c>
      <c r="J15" s="17"/>
      <c r="K15" s="17">
        <v>1</v>
      </c>
      <c r="L15" s="29">
        <f>AVERAGE(C15)</f>
        <v>0</v>
      </c>
      <c r="M15" s="7">
        <f>(L15/(0.1*K15))*0.2</f>
        <v>0</v>
      </c>
      <c r="N15" s="14"/>
    </row>
    <row r="16" spans="1:22" x14ac:dyDescent="0.35">
      <c r="A16" s="31" t="s">
        <v>64</v>
      </c>
      <c r="B16" s="10"/>
      <c r="C16" s="17">
        <v>0</v>
      </c>
      <c r="D16" s="17" t="s">
        <v>40</v>
      </c>
      <c r="E16" s="17" t="s">
        <v>40</v>
      </c>
      <c r="F16" s="17"/>
      <c r="G16" s="17" t="s">
        <v>40</v>
      </c>
      <c r="H16" s="17" t="s">
        <v>40</v>
      </c>
      <c r="I16" s="17" t="s">
        <v>40</v>
      </c>
      <c r="J16" s="17"/>
      <c r="K16" s="17">
        <v>1</v>
      </c>
      <c r="L16" s="29">
        <f>AVERAGE(C16)</f>
        <v>0</v>
      </c>
      <c r="M16" s="7">
        <f>(L16/(0.1*K16))*0.2</f>
        <v>0</v>
      </c>
      <c r="N16" s="14"/>
    </row>
    <row r="17" spans="1:14" x14ac:dyDescent="0.35">
      <c r="A17" s="1" t="s">
        <v>48</v>
      </c>
      <c r="B17" s="1"/>
      <c r="C17" s="1">
        <v>1</v>
      </c>
      <c r="D17" s="1">
        <f>C17/10</f>
        <v>0.1</v>
      </c>
      <c r="E17" s="1">
        <f>D17/10</f>
        <v>0.01</v>
      </c>
      <c r="F17" s="1">
        <v>1E-3</v>
      </c>
      <c r="G17" s="1">
        <v>1</v>
      </c>
      <c r="H17" s="1">
        <f>G17/10</f>
        <v>0.1</v>
      </c>
      <c r="I17" s="1">
        <f>H17/10</f>
        <v>0.01</v>
      </c>
      <c r="J17">
        <v>1E-3</v>
      </c>
      <c r="M17" s="14"/>
      <c r="N17" s="14"/>
    </row>
    <row r="18" spans="1:14" x14ac:dyDescent="0.35">
      <c r="A18" s="45" t="s">
        <v>66</v>
      </c>
      <c r="B18" s="45"/>
      <c r="C18" s="45"/>
    </row>
    <row r="19" spans="1:14" x14ac:dyDescent="0.35">
      <c r="A19" s="45" t="s">
        <v>57</v>
      </c>
      <c r="B19" s="45"/>
      <c r="C19" s="45"/>
      <c r="D19" s="34"/>
    </row>
    <row r="25" spans="1:14" x14ac:dyDescent="0.35">
      <c r="I25" s="14"/>
      <c r="J25" s="14"/>
    </row>
    <row r="26" spans="1:14" x14ac:dyDescent="0.35">
      <c r="I26" s="14"/>
      <c r="J26" s="14"/>
    </row>
  </sheetData>
  <mergeCells count="8">
    <mergeCell ref="A19:C19"/>
    <mergeCell ref="A18:C18"/>
    <mergeCell ref="A12:A14"/>
    <mergeCell ref="C1:E1"/>
    <mergeCell ref="G1:I1"/>
    <mergeCell ref="A3:A5"/>
    <mergeCell ref="A6:A8"/>
    <mergeCell ref="A9:A11"/>
  </mergeCells>
  <phoneticPr fontId="3" type="noConversion"/>
  <pageMargins left="0.75" right="0.75" top="1" bottom="1" header="0.5" footer="0.5"/>
  <pageSetup scale="46" orientation="portrait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C9E9-999A-2442-A720-1488DBC0945B}">
  <dimension ref="A1:D9"/>
  <sheetViews>
    <sheetView workbookViewId="0">
      <selection activeCell="D11" sqref="D11"/>
    </sheetView>
  </sheetViews>
  <sheetFormatPr defaultColWidth="10.6640625" defaultRowHeight="15.5" x14ac:dyDescent="0.35"/>
  <cols>
    <col min="1" max="1" width="34.6640625" bestFit="1" customWidth="1"/>
    <col min="4" max="4" width="70.83203125" customWidth="1"/>
  </cols>
  <sheetData>
    <row r="1" spans="1:4" x14ac:dyDescent="0.35">
      <c r="B1" s="47" t="s">
        <v>72</v>
      </c>
      <c r="C1" s="47"/>
    </row>
    <row r="2" spans="1:4" x14ac:dyDescent="0.35">
      <c r="A2" s="22" t="s">
        <v>87</v>
      </c>
      <c r="B2" s="23" t="s">
        <v>74</v>
      </c>
      <c r="C2" s="23" t="s">
        <v>75</v>
      </c>
      <c r="D2" s="22" t="s">
        <v>78</v>
      </c>
    </row>
    <row r="3" spans="1:4" x14ac:dyDescent="0.35">
      <c r="A3" s="1" t="s">
        <v>73</v>
      </c>
      <c r="B3" s="17">
        <v>8</v>
      </c>
      <c r="C3" s="37"/>
      <c r="D3" s="1" t="s">
        <v>79</v>
      </c>
    </row>
    <row r="4" spans="1:4" x14ac:dyDescent="0.35">
      <c r="A4" s="1" t="s">
        <v>76</v>
      </c>
      <c r="B4" s="17">
        <v>0</v>
      </c>
      <c r="C4" s="37">
        <v>8</v>
      </c>
      <c r="D4" s="1" t="s">
        <v>80</v>
      </c>
    </row>
    <row r="5" spans="1:4" x14ac:dyDescent="0.35">
      <c r="A5" s="1" t="s">
        <v>77</v>
      </c>
      <c r="B5" s="17">
        <v>26</v>
      </c>
      <c r="C5" s="37"/>
      <c r="D5" s="1" t="s">
        <v>81</v>
      </c>
    </row>
    <row r="6" spans="1:4" ht="31" x14ac:dyDescent="0.35">
      <c r="A6" s="1" t="s">
        <v>82</v>
      </c>
      <c r="B6" s="17">
        <v>8</v>
      </c>
      <c r="C6" s="37">
        <v>18</v>
      </c>
      <c r="D6" s="19" t="s">
        <v>91</v>
      </c>
    </row>
    <row r="7" spans="1:4" x14ac:dyDescent="0.35">
      <c r="A7" s="22" t="s">
        <v>83</v>
      </c>
      <c r="B7" s="30">
        <f>SUM(B3:B6)</f>
        <v>42</v>
      </c>
      <c r="C7" s="39">
        <f>SUM(C3:C6)</f>
        <v>26</v>
      </c>
      <c r="D7" s="1"/>
    </row>
    <row r="8" spans="1:4" x14ac:dyDescent="0.35">
      <c r="A8" s="1" t="s">
        <v>84</v>
      </c>
      <c r="B8" s="17">
        <f>B7/25</f>
        <v>1.68</v>
      </c>
      <c r="C8" s="37">
        <f>C7/20</f>
        <v>1.3</v>
      </c>
      <c r="D8" s="1" t="s">
        <v>86</v>
      </c>
    </row>
    <row r="9" spans="1:4" x14ac:dyDescent="0.35">
      <c r="A9" s="22" t="s">
        <v>85</v>
      </c>
      <c r="B9" s="30">
        <f>SUM(B8:C8)</f>
        <v>2.98</v>
      </c>
      <c r="C9" s="38"/>
    </row>
  </sheetData>
  <mergeCells count="1">
    <mergeCell ref="B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7"/>
  <sheetViews>
    <sheetView tabSelected="1" showRuler="0" topLeftCell="B9" workbookViewId="0">
      <selection activeCell="M25" sqref="M25"/>
    </sheetView>
  </sheetViews>
  <sheetFormatPr defaultColWidth="10.6640625" defaultRowHeight="15.5" x14ac:dyDescent="0.35"/>
  <cols>
    <col min="1" max="1" width="19.33203125" customWidth="1"/>
    <col min="2" max="2" width="9" bestFit="1" customWidth="1"/>
    <col min="3" max="3" width="8.6640625" customWidth="1"/>
    <col min="4" max="5" width="6" bestFit="1" customWidth="1"/>
    <col min="6" max="6" width="6.1640625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3" x14ac:dyDescent="0.35">
      <c r="A1" s="22" t="s">
        <v>31</v>
      </c>
      <c r="B1" s="23"/>
      <c r="C1" s="50"/>
      <c r="D1" s="50"/>
      <c r="E1" s="50"/>
      <c r="F1" s="50"/>
    </row>
    <row r="2" spans="1:13" ht="46.5" x14ac:dyDescent="0.35">
      <c r="A2" s="22"/>
      <c r="B2" s="24" t="s">
        <v>32</v>
      </c>
      <c r="C2" s="22">
        <v>1</v>
      </c>
      <c r="D2" s="22">
        <v>2</v>
      </c>
      <c r="E2" s="25">
        <v>3</v>
      </c>
      <c r="F2" s="22">
        <v>4</v>
      </c>
      <c r="G2" s="26" t="s">
        <v>33</v>
      </c>
      <c r="H2" s="26" t="s">
        <v>34</v>
      </c>
      <c r="I2" s="26" t="s">
        <v>35</v>
      </c>
      <c r="J2" s="26" t="s">
        <v>36</v>
      </c>
      <c r="K2" s="26" t="s">
        <v>49</v>
      </c>
      <c r="L2" s="26" t="s">
        <v>36</v>
      </c>
      <c r="M2" s="16" t="s">
        <v>71</v>
      </c>
    </row>
    <row r="3" spans="1:13" x14ac:dyDescent="0.35">
      <c r="A3" s="46" t="s">
        <v>30</v>
      </c>
      <c r="B3" s="27" t="s">
        <v>38</v>
      </c>
      <c r="C3" s="17" t="s">
        <v>39</v>
      </c>
      <c r="D3" s="17" t="s">
        <v>39</v>
      </c>
      <c r="E3" s="17" t="s">
        <v>39</v>
      </c>
      <c r="F3" s="17">
        <v>21</v>
      </c>
      <c r="G3" s="17">
        <v>1E-3</v>
      </c>
      <c r="H3" s="18">
        <f>F3/(G3*0.01)</f>
        <v>2100000</v>
      </c>
      <c r="I3" s="7">
        <f>AVERAGE(H3:H4)</f>
        <v>2350000</v>
      </c>
      <c r="J3" s="7">
        <f>STDEV(H3:H4)</f>
        <v>353553.39059327374</v>
      </c>
      <c r="K3" s="7">
        <f>I3*0.05</f>
        <v>117500</v>
      </c>
      <c r="L3" s="7">
        <f>J3*0.05</f>
        <v>17677.669529663686</v>
      </c>
      <c r="M3" s="28">
        <f>K3/20000</f>
        <v>5.875</v>
      </c>
    </row>
    <row r="4" spans="1:13" x14ac:dyDescent="0.35">
      <c r="A4" s="46"/>
      <c r="B4" s="27" t="s">
        <v>41</v>
      </c>
      <c r="C4" s="17" t="s">
        <v>39</v>
      </c>
      <c r="D4" s="17" t="s">
        <v>39</v>
      </c>
      <c r="E4" s="17" t="s">
        <v>39</v>
      </c>
      <c r="F4" s="17">
        <v>26</v>
      </c>
      <c r="G4" s="17">
        <v>1E-3</v>
      </c>
      <c r="H4" s="18">
        <f t="shared" ref="H4:H10" si="0">F4/(G4*0.01)</f>
        <v>2600000</v>
      </c>
      <c r="I4" s="29"/>
      <c r="J4" s="29"/>
      <c r="K4" s="7"/>
      <c r="L4" s="7"/>
      <c r="M4" s="28"/>
    </row>
    <row r="5" spans="1:13" x14ac:dyDescent="0.35">
      <c r="A5" s="49" t="s">
        <v>93</v>
      </c>
      <c r="B5" s="27" t="s">
        <v>42</v>
      </c>
      <c r="C5" s="17" t="s">
        <v>39</v>
      </c>
      <c r="D5" s="17" t="s">
        <v>39</v>
      </c>
      <c r="E5" s="17" t="s">
        <v>39</v>
      </c>
      <c r="F5" s="17">
        <v>10</v>
      </c>
      <c r="G5" s="17">
        <v>1E-3</v>
      </c>
      <c r="H5" s="18">
        <f t="shared" si="0"/>
        <v>999999.99999999988</v>
      </c>
      <c r="I5" s="7">
        <f>AVERAGE(H5:H6)</f>
        <v>1449999.9999999998</v>
      </c>
      <c r="J5" s="7">
        <f>STDEV(H5:H6)</f>
        <v>636396.10306789319</v>
      </c>
      <c r="K5" s="7">
        <f>I5*0.05</f>
        <v>72499.999999999985</v>
      </c>
      <c r="L5" s="7">
        <f>J5*0.05</f>
        <v>31819.80515339466</v>
      </c>
      <c r="M5" s="28">
        <f>K5/20000</f>
        <v>3.6249999999999991</v>
      </c>
    </row>
    <row r="6" spans="1:13" x14ac:dyDescent="0.35">
      <c r="A6" s="46"/>
      <c r="B6" s="27" t="s">
        <v>43</v>
      </c>
      <c r="C6" s="17" t="s">
        <v>39</v>
      </c>
      <c r="D6" s="17" t="s">
        <v>39</v>
      </c>
      <c r="E6" s="17" t="s">
        <v>39</v>
      </c>
      <c r="F6" s="17">
        <v>19</v>
      </c>
      <c r="G6" s="17">
        <v>1E-3</v>
      </c>
      <c r="H6" s="18">
        <f t="shared" si="0"/>
        <v>1899999.9999999998</v>
      </c>
      <c r="I6" s="29"/>
      <c r="J6" s="29"/>
      <c r="K6" s="7"/>
      <c r="L6" s="7"/>
      <c r="M6" s="28"/>
    </row>
    <row r="7" spans="1:13" x14ac:dyDescent="0.35">
      <c r="A7" s="49" t="s">
        <v>95</v>
      </c>
      <c r="B7" s="27" t="s">
        <v>44</v>
      </c>
      <c r="C7" s="17" t="s">
        <v>39</v>
      </c>
      <c r="D7" s="17" t="s">
        <v>39</v>
      </c>
      <c r="E7" s="17" t="s">
        <v>39</v>
      </c>
      <c r="F7" s="17">
        <v>19</v>
      </c>
      <c r="G7" s="17">
        <v>1E-3</v>
      </c>
      <c r="H7" s="18">
        <f t="shared" si="0"/>
        <v>1899999.9999999998</v>
      </c>
      <c r="I7" s="7">
        <f>AVERAGE(H7:H8)</f>
        <v>1650000</v>
      </c>
      <c r="J7" s="7">
        <f>STDEV(H7:H8)</f>
        <v>353553.3905932724</v>
      </c>
      <c r="K7" s="7">
        <f>I7*0.05</f>
        <v>82500</v>
      </c>
      <c r="L7" s="7">
        <f>J7*0.05</f>
        <v>17677.669529663621</v>
      </c>
      <c r="M7" s="28">
        <f>K7/20000</f>
        <v>4.125</v>
      </c>
    </row>
    <row r="8" spans="1:13" x14ac:dyDescent="0.35">
      <c r="A8" s="49"/>
      <c r="B8" s="27" t="s">
        <v>45</v>
      </c>
      <c r="C8" s="17" t="s">
        <v>39</v>
      </c>
      <c r="D8" s="17" t="s">
        <v>39</v>
      </c>
      <c r="E8" s="17" t="s">
        <v>39</v>
      </c>
      <c r="F8" s="17">
        <v>14</v>
      </c>
      <c r="G8" s="17">
        <v>1E-3</v>
      </c>
      <c r="H8" s="18">
        <f t="shared" si="0"/>
        <v>1400000</v>
      </c>
      <c r="I8" s="29"/>
      <c r="J8" s="29"/>
      <c r="K8" s="7"/>
      <c r="L8" s="7"/>
      <c r="M8" s="28"/>
    </row>
    <row r="9" spans="1:13" ht="16" customHeight="1" x14ac:dyDescent="0.35">
      <c r="A9" s="46" t="s">
        <v>96</v>
      </c>
      <c r="B9" s="27" t="s">
        <v>46</v>
      </c>
      <c r="C9" s="17" t="s">
        <v>39</v>
      </c>
      <c r="D9" s="17" t="s">
        <v>39</v>
      </c>
      <c r="E9" s="17" t="s">
        <v>39</v>
      </c>
      <c r="F9" s="17">
        <v>11</v>
      </c>
      <c r="G9" s="17">
        <v>1E-3</v>
      </c>
      <c r="H9" s="18">
        <f t="shared" si="0"/>
        <v>1100000</v>
      </c>
      <c r="I9" s="7">
        <f>AVERAGE(H9:H10)</f>
        <v>1300000</v>
      </c>
      <c r="J9" s="7">
        <f>STDEV(H9:H10)</f>
        <v>282842.71247461817</v>
      </c>
      <c r="K9" s="7">
        <f>I9*0.05</f>
        <v>65000</v>
      </c>
      <c r="L9" s="7">
        <f>J9*0.05</f>
        <v>14142.135623730908</v>
      </c>
      <c r="M9" s="28">
        <f>K9/20000</f>
        <v>3.25</v>
      </c>
    </row>
    <row r="10" spans="1:13" x14ac:dyDescent="0.35">
      <c r="A10" s="46"/>
      <c r="B10" s="27" t="s">
        <v>47</v>
      </c>
      <c r="C10" s="17" t="s">
        <v>39</v>
      </c>
      <c r="D10" s="17" t="s">
        <v>39</v>
      </c>
      <c r="E10" s="17" t="s">
        <v>39</v>
      </c>
      <c r="F10" s="17">
        <v>15</v>
      </c>
      <c r="G10" s="17">
        <v>1E-3</v>
      </c>
      <c r="H10" s="18">
        <f t="shared" si="0"/>
        <v>1499999.9999999998</v>
      </c>
      <c r="I10" s="29"/>
      <c r="J10" s="29"/>
      <c r="K10" s="7"/>
      <c r="L10" s="7"/>
      <c r="M10" s="28"/>
    </row>
    <row r="11" spans="1:13" x14ac:dyDescent="0.35">
      <c r="A11" s="1" t="s">
        <v>48</v>
      </c>
      <c r="B11" s="1"/>
      <c r="C11" s="1">
        <v>1</v>
      </c>
      <c r="D11" s="1">
        <f>C11/10</f>
        <v>0.1</v>
      </c>
      <c r="E11" s="1">
        <f>D11/10</f>
        <v>0.01</v>
      </c>
      <c r="F11" s="1">
        <f>E11/10</f>
        <v>1E-3</v>
      </c>
    </row>
    <row r="13" spans="1:13" x14ac:dyDescent="0.35">
      <c r="A13" s="1"/>
      <c r="B13" s="1" t="s">
        <v>49</v>
      </c>
      <c r="C13" s="1" t="s">
        <v>36</v>
      </c>
    </row>
    <row r="14" spans="1:13" x14ac:dyDescent="0.35">
      <c r="A14" s="9" t="s">
        <v>30</v>
      </c>
      <c r="B14" s="7">
        <f>K3</f>
        <v>117500</v>
      </c>
      <c r="C14" s="7">
        <f>L3</f>
        <v>17677.669529663686</v>
      </c>
    </row>
    <row r="15" spans="1:13" x14ac:dyDescent="0.35">
      <c r="A15" s="44" t="s">
        <v>93</v>
      </c>
      <c r="B15" s="7">
        <f>K5</f>
        <v>72499.999999999985</v>
      </c>
      <c r="C15" s="7">
        <f>L5</f>
        <v>31819.80515339466</v>
      </c>
    </row>
    <row r="16" spans="1:13" x14ac:dyDescent="0.35">
      <c r="A16" s="9" t="s">
        <v>97</v>
      </c>
      <c r="B16" s="7">
        <f>K7</f>
        <v>82500</v>
      </c>
      <c r="C16" s="7">
        <f>L7</f>
        <v>17677.669529663621</v>
      </c>
    </row>
    <row r="17" spans="1:3" x14ac:dyDescent="0.35">
      <c r="A17" s="9" t="s">
        <v>92</v>
      </c>
      <c r="B17" s="7">
        <f>K9</f>
        <v>65000</v>
      </c>
      <c r="C17" s="7">
        <f>L9</f>
        <v>14142.135623730908</v>
      </c>
    </row>
  </sheetData>
  <mergeCells count="5">
    <mergeCell ref="A5:A6"/>
    <mergeCell ref="A3:A4"/>
    <mergeCell ref="A7:A8"/>
    <mergeCell ref="A9:A10"/>
    <mergeCell ref="C1:F1"/>
  </mergeCells>
  <phoneticPr fontId="3" type="noConversion"/>
  <pageMargins left="0.75" right="0.75" top="1" bottom="1" header="0.5" footer="0.5"/>
  <pageSetup scale="60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ExperimentalSetup</vt:lpstr>
      <vt:lpstr>Sheet1</vt:lpstr>
      <vt:lpstr>T=24</vt:lpstr>
      <vt:lpstr>Plate Needs</vt:lpstr>
      <vt:lpstr>Inoculum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Levasseur</dc:creator>
  <cp:lastModifiedBy>Jamie</cp:lastModifiedBy>
  <cp:lastPrinted>2019-05-29T19:48:26Z</cp:lastPrinted>
  <dcterms:created xsi:type="dcterms:W3CDTF">2016-02-15T21:32:37Z</dcterms:created>
  <dcterms:modified xsi:type="dcterms:W3CDTF">2019-07-08T23:46:12Z</dcterms:modified>
</cp:coreProperties>
</file>