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Team Drives\KRamsey Lab\Jamie Wandzilak\"/>
    </mc:Choice>
  </mc:AlternateContent>
  <xr:revisionPtr revIDLastSave="0" documentId="13_ncr:1_{499132EC-D110-499C-A266-9633D1B66C6E}" xr6:coauthVersionLast="43" xr6:coauthVersionMax="43" xr10:uidLastSave="{00000000-0000-0000-0000-000000000000}"/>
  <bookViews>
    <workbookView xWindow="-110" yWindow="-110" windowWidth="19420" windowHeight="10420" tabRatio="500" firstSheet="1" activeTab="6" xr2:uid="{00000000-000D-0000-FFFF-FFFF00000000}"/>
  </bookViews>
  <sheets>
    <sheet name="ExperimentalSetup" sheetId="1" r:id="rId1"/>
    <sheet name="Sheet1" sheetId="6" r:id="rId2"/>
    <sheet name="T=24" sheetId="3" r:id="rId3"/>
    <sheet name="Sheet2" sheetId="7" r:id="rId4"/>
    <sheet name="Plate Needs" sheetId="5" r:id="rId5"/>
    <sheet name="Inoculum" sheetId="2" r:id="rId6"/>
    <sheet name="T=2" sheetId="4" r:id="rId7"/>
  </sheets>
  <calcPr calcId="181029"/>
</workbook>
</file>

<file path=xl/calcChain.xml><?xml version="1.0" encoding="utf-8"?>
<calcChain xmlns="http://schemas.openxmlformats.org/spreadsheetml/2006/main">
  <c r="W4" i="3" l="1"/>
  <c r="T4" i="3"/>
  <c r="T3" i="3"/>
  <c r="S4" i="3" l="1"/>
  <c r="Q3" i="3"/>
  <c r="P3" i="3"/>
  <c r="M3" i="3"/>
  <c r="S6" i="3"/>
  <c r="Q6" i="3"/>
  <c r="S5" i="3" l="1"/>
  <c r="P6" i="3"/>
  <c r="P5" i="3"/>
  <c r="P4" i="3"/>
  <c r="M13" i="3"/>
  <c r="M12" i="3"/>
  <c r="M14" i="3"/>
  <c r="M6" i="3"/>
  <c r="M7" i="3"/>
  <c r="M8" i="3"/>
  <c r="K6" i="4"/>
  <c r="K5" i="4"/>
  <c r="K4" i="4"/>
  <c r="K3" i="4"/>
  <c r="G3" i="4"/>
  <c r="M9" i="2"/>
  <c r="M7" i="2"/>
  <c r="M5" i="2"/>
  <c r="M3" i="2"/>
  <c r="L11" i="3" l="1"/>
  <c r="L10" i="3"/>
  <c r="L9" i="3"/>
  <c r="L6" i="3"/>
  <c r="L5" i="3"/>
  <c r="L3" i="3"/>
  <c r="L7" i="3" l="1"/>
  <c r="L8" i="3"/>
  <c r="L4" i="3"/>
  <c r="Q22" i="1" l="1"/>
  <c r="B4" i="6" l="1"/>
  <c r="C8" i="5" l="1"/>
  <c r="C7" i="5"/>
  <c r="B7" i="5"/>
  <c r="B8" i="5" s="1"/>
  <c r="B9" i="5" s="1"/>
  <c r="H3" i="2"/>
  <c r="Q8" i="1"/>
  <c r="Q24" i="1"/>
  <c r="Q10" i="1"/>
  <c r="Q18" i="1" s="1"/>
  <c r="Q20" i="1" s="1"/>
  <c r="Q4" i="1"/>
  <c r="P8" i="1" l="1"/>
  <c r="P10" i="1"/>
  <c r="P18" i="1" s="1"/>
  <c r="P20" i="1" s="1"/>
  <c r="P22" i="1" s="1"/>
  <c r="F3" i="4"/>
  <c r="F4" i="4"/>
  <c r="G4" i="4" s="1"/>
  <c r="F5" i="4"/>
  <c r="G5" i="4" s="1"/>
  <c r="F6" i="4"/>
  <c r="G6" i="4" s="1"/>
  <c r="F7" i="4"/>
  <c r="G7" i="4" s="1"/>
  <c r="F8" i="4"/>
  <c r="G8" i="4" s="1"/>
  <c r="M10" i="3"/>
  <c r="M11" i="3"/>
  <c r="M9" i="3"/>
  <c r="H9" i="2"/>
  <c r="H10" i="2"/>
  <c r="H7" i="2"/>
  <c r="H8" i="2"/>
  <c r="H5" i="2"/>
  <c r="H6" i="2"/>
  <c r="H4" i="2"/>
  <c r="J3" i="2" s="1"/>
  <c r="L3" i="2" s="1"/>
  <c r="C14" i="2" s="1"/>
  <c r="L14" i="3"/>
  <c r="P4" i="1"/>
  <c r="M4" i="3"/>
  <c r="M5" i="3"/>
  <c r="L13" i="3"/>
  <c r="L12" i="3"/>
  <c r="F13" i="4"/>
  <c r="G13" i="4" s="1"/>
  <c r="L15" i="3"/>
  <c r="M15" i="3" s="1"/>
  <c r="L16" i="3"/>
  <c r="M16" i="3" s="1"/>
  <c r="D17" i="3"/>
  <c r="E17" i="3" s="1"/>
  <c r="F10" i="4"/>
  <c r="G10" i="4" s="1"/>
  <c r="F11" i="4"/>
  <c r="G11" i="4" s="1"/>
  <c r="F12" i="4"/>
  <c r="G12" i="4" s="1"/>
  <c r="F14" i="4"/>
  <c r="G14" i="4" s="1"/>
  <c r="F9" i="4"/>
  <c r="G9" i="4" s="1"/>
  <c r="D11" i="2"/>
  <c r="E11" i="2" s="1"/>
  <c r="F11" i="2" s="1"/>
  <c r="H17" i="3"/>
  <c r="I17" i="3" s="1"/>
  <c r="N3" i="4" l="1"/>
  <c r="N4" i="4"/>
  <c r="I5" i="2"/>
  <c r="K5" i="2" s="1"/>
  <c r="Q5" i="3"/>
  <c r="J5" i="2"/>
  <c r="L5" i="2" s="1"/>
  <c r="C15" i="2" s="1"/>
  <c r="I7" i="2"/>
  <c r="K7" i="2" s="1"/>
  <c r="I9" i="2"/>
  <c r="K9" i="2" s="1"/>
  <c r="I3" i="2"/>
  <c r="K3" i="2" s="1"/>
  <c r="J7" i="2"/>
  <c r="L7" i="2" s="1"/>
  <c r="C16" i="2" s="1"/>
  <c r="L4" i="4"/>
  <c r="L5" i="4"/>
  <c r="H6" i="4"/>
  <c r="H3" i="4"/>
  <c r="O3" i="4"/>
  <c r="N6" i="4"/>
  <c r="H9" i="4"/>
  <c r="L3" i="4"/>
  <c r="N5" i="4"/>
  <c r="L6" i="4"/>
  <c r="Q4" i="3"/>
  <c r="H12" i="4"/>
  <c r="J9" i="2"/>
  <c r="L9" i="2" s="1"/>
  <c r="C17" i="2" s="1"/>
  <c r="B15" i="2" l="1"/>
  <c r="B17" i="2"/>
  <c r="O6" i="4"/>
  <c r="B16" i="2"/>
  <c r="B14" i="2"/>
  <c r="O5" i="4"/>
  <c r="T6" i="3"/>
  <c r="O4" i="4"/>
  <c r="T5" i="3"/>
</calcChain>
</file>

<file path=xl/sharedStrings.xml><?xml version="1.0" encoding="utf-8"?>
<sst xmlns="http://schemas.openxmlformats.org/spreadsheetml/2006/main" count="260" uniqueCount="112">
  <si>
    <t xml:space="preserve"> </t>
  </si>
  <si>
    <t>Macrophage Calculations</t>
  </si>
  <si>
    <t>A</t>
  </si>
  <si>
    <t>mac only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</si>
  <si>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</si>
  <si>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</si>
  <si>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</si>
  <si>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</si>
  <si>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</si>
  <si>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</si>
  <si>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</si>
  <si>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</si>
  <si>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</si>
  <si>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</si>
  <si>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</si>
  <si>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</si>
  <si>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</si>
  <si>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</si>
  <si>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</si>
  <si>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</si>
  <si>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</si>
  <si>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</si>
  <si>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</si>
  <si>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</si>
  <si>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</si>
  <si>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</si>
  <si>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</si>
  <si>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</si>
  <si>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</si>
  <si>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</si>
  <si>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LVS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</si>
  <si>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</si>
  <si>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</si>
  <si>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</si>
  <si>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</si>
  <si>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</si>
  <si>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</si>
  <si>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</si>
  <si>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</si>
  <si>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TMTC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</si>
  <si>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</si>
  <si>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</si>
  <si>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</si>
  <si>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</si>
  <si>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</si>
  <si>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</si>
  <si>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</si>
  <si>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</si>
  <si>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</si>
  <si>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</si>
  <si>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</si>
  <si>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</si>
  <si>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</si>
  <si>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</si>
  <si>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</si>
  <si>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</si>
  <si>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</si>
  <si>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</si>
  <si>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</si>
  <si>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</si>
  <si>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</si>
  <si>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</si>
  <si>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</si>
  <si>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</si>
  <si>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</si>
  <si>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3C</t>
  </si>
  <si>
    <t>4C</t>
  </si>
  <si>
    <t>2C</t>
  </si>
  <si>
    <t>macrophage**</t>
  </si>
  <si>
    <t>LVS**</t>
  </si>
  <si>
    <t>LVS only</t>
  </si>
  <si>
    <t>*Plated 50 ul on circular plate</t>
  </si>
  <si>
    <t>T-test (vs LVS)</t>
  </si>
  <si>
    <t>macrophage*</t>
  </si>
  <si>
    <t>LVS*</t>
  </si>
  <si>
    <r>
      <t>∆</t>
    </r>
    <r>
      <rPr>
        <i/>
        <sz val="12"/>
        <color theme="1"/>
        <rFont val="Calibri"/>
        <family val="2"/>
        <scheme val="minor"/>
      </rPr>
      <t>pmrA</t>
    </r>
  </si>
  <si>
    <t>Actual</t>
  </si>
  <si>
    <t>Example</t>
  </si>
  <si>
    <t>MOI (based on number of seeded macrophage- see setup)</t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</si>
  <si>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</si>
  <si>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</si>
  <si>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</si>
  <si>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</si>
  <si>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</si>
  <si>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</si>
  <si>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</si>
  <si>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</si>
  <si>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</si>
  <si>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</si>
  <si>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</si>
  <si>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</si>
  <si>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</si>
  <si>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</si>
  <si>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</si>
  <si>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</si>
  <si>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&lt;- inoculum</t>
  </si>
  <si>
    <t>PBS</t>
  </si>
  <si>
    <t>"=1:1000"</t>
  </si>
  <si>
    <t>Square: 3 wells plated in duplicate x 3 strains (LVS, dPmra dPriM); Round: 3 wells plated in duplicate (∆pmrA only), 2 plates for control wells</t>
  </si>
  <si>
    <t>∆pigR</t>
  </si>
  <si>
    <r>
      <t>∆</t>
    </r>
    <r>
      <rPr>
        <i/>
        <sz val="12"/>
        <color theme="1"/>
        <rFont val="Calibri"/>
        <family val="2"/>
        <scheme val="minor"/>
      </rPr>
      <t>pmrA priM</t>
    </r>
  </si>
  <si>
    <t>∆pigR*</t>
  </si>
  <si>
    <r>
      <t>∆</t>
    </r>
    <r>
      <rPr>
        <i/>
        <sz val="12"/>
        <color theme="1"/>
        <rFont val="Calibri"/>
        <family val="2"/>
        <scheme val="minor"/>
      </rPr>
      <t xml:space="preserve">pmrA </t>
    </r>
  </si>
  <si>
    <r>
      <t>∆</t>
    </r>
    <r>
      <rPr>
        <i/>
        <sz val="12"/>
        <color theme="1"/>
        <rFont val="Calibri"/>
        <family val="2"/>
        <scheme val="minor"/>
      </rPr>
      <t>pmrA (BD)</t>
    </r>
  </si>
  <si>
    <t xml:space="preserve">∆pmrA </t>
  </si>
  <si>
    <r>
      <t>∆</t>
    </r>
    <r>
      <rPr>
        <b/>
        <i/>
        <sz val="12"/>
        <color theme="1"/>
        <rFont val="Calibri"/>
        <family val="2"/>
        <scheme val="minor"/>
      </rPr>
      <t>pmrA (BD)</t>
    </r>
  </si>
  <si>
    <r>
      <t>∆</t>
    </r>
    <r>
      <rPr>
        <i/>
        <sz val="12"/>
        <color theme="1"/>
        <rFont val="Calibri"/>
        <family val="2"/>
        <scheme val="minor"/>
      </rPr>
      <t>pmrA(BD)</t>
    </r>
  </si>
  <si>
    <r>
      <t>∆</t>
    </r>
    <r>
      <rPr>
        <b/>
        <i/>
        <sz val="12"/>
        <color theme="1"/>
        <rFont val="Calibri"/>
        <family val="2"/>
        <scheme val="minor"/>
      </rPr>
      <t>pmrA(BD)</t>
    </r>
  </si>
  <si>
    <t>T-test of alpha dPmrA vs BD dPmrA</t>
  </si>
  <si>
    <t>∆pmrA (BD)</t>
  </si>
  <si>
    <t xml:space="preserve">Average CFU per well 24 hour </t>
  </si>
  <si>
    <t>Average CFU per well 2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</si>
</sst>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20" fontId="0" fillId="3" borderId="6" xfId="0" applyNumberForma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6" fontId="0" fillId="0" borderId="1" xfId="0" applyNumberFormat="1" applyBorder="1" applyAlignment="1">
      <alignment horizontal="center" vertical="center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'T=24'!$Q$3:$Q$6</c:f>
                <c:numCache>
                  <c:formatCode>General</c:formatCode>
                  <c:ptCount val="4"/>
                  <c:pt idx="0">
                    <c:v>19924.858845171275</c:v>
                  </c:pt>
                  <c:pt idx="1">
                    <c:v>42.394968254892397</c:v>
                  </c:pt>
                  <c:pt idx="2">
                    <c:v>1315.0792118094382</c:v>
                  </c:pt>
                  <c:pt idx="3">
                    <c:v>162.58331197676259</c:v>
                  </c:pt>
                </c:numCache>
              </c:numRef>
            </c:plus>
            <c:minus>
              <c:numRef>
                <c:f>'T=24'!$Q$3:$Q$6</c:f>
                <c:numCache>
                  <c:formatCode>General</c:formatCode>
                  <c:ptCount val="4"/>
                  <c:pt idx="0">
                    <c:v>19924.858845171275</c:v>
                  </c:pt>
                  <c:pt idx="1">
                    <c:v>42.394968254892397</c:v>
                  </c:pt>
                  <c:pt idx="2">
                    <c:v>1315.0792118094382</c:v>
                  </c:pt>
                  <c:pt idx="3">
                    <c:v>162.58331197676259</c:v>
                  </c:pt>
                </c:numCache>
              </c:numRef>
            </c:minus>
          </c:errBars>
          <c:cat>
            <c:strRef>
              <c:f>'T=24'!$O$3:$O$6</c:f>
              <c:strCache>
                <c:ptCount val="4"/>
                <c:pt idx="0">
                  <c:v>LVS</c:v>
                </c:pt>
                <c:pt idx="1">
                  <c:v>∆pigR</c:v>
                </c:pt>
                <c:pt idx="2">
                  <c:v>∆pmrA </c:v>
                </c:pt>
                <c:pt idx="3">
                  <c:v>∆pmrA (BD)</c:v>
                </c:pt>
              </c:strCache>
            </c:strRef>
          </c:cat>
          <c:val>
            <c:numRef>
              <c:f>'T=24'!$P$3:$P$6</c:f>
              <c:numCache>
                <c:formatCode>0.00E+00</c:formatCode>
                <c:ptCount val="4"/>
                <c:pt idx="0">
                  <c:v>61000</c:v>
                </c:pt>
                <c:pt idx="1">
                  <c:v>96.666666666666671</c:v>
                </c:pt>
                <c:pt idx="2">
                  <c:v>2223.3333333333335</c:v>
                </c:pt>
                <c:pt idx="3">
                  <c:v>426.66666666666669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C-1340-A0AC-6C65CBE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baseline="0"/>
              <a:t> hour vs 24 hour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808452371887264E-2"/>
          <c:y val="0.11645090555713192"/>
          <c:w val="0.88750711657871517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Sheet2!$D$2</c:f>
              <c:strCache>
                <c:ptCount val="1"/>
                <c:pt idx="0">
                  <c:v>Average CFU per well 2 hour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Sheet2!$E$3:$E$6</c:f>
                <c:numCache>
                  <c:formatCode>General</c:formatCode>
                  <c:ptCount val="4"/>
                  <c:pt idx="0">
                    <c:v>51.884487084291386</c:v>
                  </c:pt>
                  <c:pt idx="1">
                    <c:v>46.144699948459177</c:v>
                  </c:pt>
                  <c:pt idx="2">
                    <c:v>19.798989873223331</c:v>
                  </c:pt>
                  <c:pt idx="3">
                    <c:v>82.129978286453579</c:v>
                  </c:pt>
                </c:numCache>
              </c:numRef>
            </c:plus>
            <c:minus>
              <c:numRef>
                <c:f>Sheet2!$E$3:$E$6</c:f>
                <c:numCache>
                  <c:formatCode>General</c:formatCode>
                  <c:ptCount val="4"/>
                  <c:pt idx="0">
                    <c:v>51.884487084291386</c:v>
                  </c:pt>
                  <c:pt idx="1">
                    <c:v>46.144699948459177</c:v>
                  </c:pt>
                  <c:pt idx="2">
                    <c:v>19.798989873223331</c:v>
                  </c:pt>
                  <c:pt idx="3">
                    <c:v>82.129978286453579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Sheet2!$C$3:$C$6</c:f>
              <c:strCache>
                <c:ptCount val="4"/>
                <c:pt idx="0">
                  <c:v>LVS</c:v>
                </c:pt>
                <c:pt idx="1">
                  <c:v>∆pigR</c:v>
                </c:pt>
                <c:pt idx="2">
                  <c:v>∆pmrA </c:v>
                </c:pt>
                <c:pt idx="3">
                  <c:v>∆pmrA (BD)</c:v>
                </c:pt>
              </c:strCache>
            </c:strRef>
          </c:cat>
          <c:val>
            <c:numRef>
              <c:f>Sheet2!$D$3:$D$6</c:f>
              <c:numCache>
                <c:formatCode>General</c:formatCode>
                <c:ptCount val="4"/>
                <c:pt idx="0">
                  <c:v>226</c:v>
                </c:pt>
                <c:pt idx="1">
                  <c:v>235.33333333333334</c:v>
                </c:pt>
                <c:pt idx="2">
                  <c:v>195.33333333333334</c:v>
                </c:pt>
                <c:pt idx="3">
                  <c:v>179.33333333333334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3-40D3-ACF9-87E9D4F8491A}"/>
            </c:ext>
          </c:extLst>
        </c:ser>
        <c:ser>
          <c:idx val="1"/>
          <c:order val="1"/>
          <c:tx>
            <c:strRef>
              <c:f>Sheet2!$F$2</c:f>
              <c:strCache>
                <c:ptCount val="1"/>
                <c:pt idx="0">
                  <c:v>Average CFU per well 24 hour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Sheet2!$G$3:$G$6</c:f>
                <c:numCache>
                  <c:formatCode>General</c:formatCode>
                  <c:ptCount val="4"/>
                  <c:pt idx="0">
                    <c:v>19924.858845171275</c:v>
                  </c:pt>
                  <c:pt idx="1">
                    <c:v>42.394968254892397</c:v>
                  </c:pt>
                  <c:pt idx="2">
                    <c:v>1315.0792118094382</c:v>
                  </c:pt>
                  <c:pt idx="3">
                    <c:v>162.58331197676259</c:v>
                  </c:pt>
                </c:numCache>
              </c:numRef>
            </c:plus>
            <c:minus>
              <c:numRef>
                <c:f>Sheet2!$G$3:$G$6</c:f>
                <c:numCache>
                  <c:formatCode>General</c:formatCode>
                  <c:ptCount val="4"/>
                  <c:pt idx="0">
                    <c:v>19924.858845171275</c:v>
                  </c:pt>
                  <c:pt idx="1">
                    <c:v>42.394968254892397</c:v>
                  </c:pt>
                  <c:pt idx="2">
                    <c:v>1315.0792118094382</c:v>
                  </c:pt>
                  <c:pt idx="3">
                    <c:v>162.58331197676259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Sheet2!$C$3:$C$6</c:f>
              <c:strCache>
                <c:ptCount val="4"/>
                <c:pt idx="0">
                  <c:v>LVS</c:v>
                </c:pt>
                <c:pt idx="1">
                  <c:v>∆pigR</c:v>
                </c:pt>
                <c:pt idx="2">
                  <c:v>∆pmrA </c:v>
                </c:pt>
                <c:pt idx="3">
                  <c:v>∆pmrA (BD)</c:v>
                </c:pt>
              </c:strCache>
            </c:strRef>
          </c:cat>
          <c:val>
            <c:numRef>
              <c:f>Sheet2!$F$3:$F$6</c:f>
              <c:numCache>
                <c:formatCode>General</c:formatCode>
                <c:ptCount val="4"/>
                <c:pt idx="0">
                  <c:v>61000</c:v>
                </c:pt>
                <c:pt idx="1">
                  <c:v>96.666666666666671</c:v>
                </c:pt>
                <c:pt idx="2">
                  <c:v>2223.3333333333335</c:v>
                </c:pt>
                <c:pt idx="3">
                  <c:v>426.66666666666669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3-40D3-ACF9-87E9D4F84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7775560"/>
        <c:axId val="377772936"/>
      </c:barChart>
      <c:catAx>
        <c:axId val="37777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772936"/>
        <c:crosses val="autoZero"/>
        <c:auto val="1"/>
        <c:lblAlgn val="ctr"/>
        <c:lblOffset val="100"/>
        <c:noMultiLvlLbl val="0"/>
      </c:catAx>
      <c:valAx>
        <c:axId val="37777293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775560"/>
        <c:crosses val="autoZero"/>
        <c:crossBetween val="between"/>
      </c:valAx>
      <c:spPr>
        <a:noFill/>
        <a:ln>
          <a:solidFill>
            <a:schemeClr val="accent1">
              <a:alpha val="94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14142.135623730952</c:v>
                  </c:pt>
                  <c:pt idx="1">
                    <c:v>3535.533905932738</c:v>
                  </c:pt>
                  <c:pt idx="2">
                    <c:v>31819.805153394638</c:v>
                  </c:pt>
                  <c:pt idx="3">
                    <c:v>3535.533905932738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14142.135623730952</c:v>
                  </c:pt>
                  <c:pt idx="1">
                    <c:v>3535.533905932738</c:v>
                  </c:pt>
                  <c:pt idx="2">
                    <c:v>31819.805153394638</c:v>
                  </c:pt>
                  <c:pt idx="3">
                    <c:v>3535.533905932738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</c:v>
                </c:pt>
                <c:pt idx="1">
                  <c:v>∆pigR</c:v>
                </c:pt>
                <c:pt idx="2">
                  <c:v>∆pmrA </c:v>
                </c:pt>
                <c:pt idx="3">
                  <c:v>∆pmrA (BD)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365000</c:v>
                </c:pt>
                <c:pt idx="1">
                  <c:v>217500</c:v>
                </c:pt>
                <c:pt idx="2">
                  <c:v>47500</c:v>
                </c:pt>
                <c:pt idx="3">
                  <c:v>122500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'T=2'!$L$3:$L$6</c:f>
                <c:numCache>
                  <c:formatCode>General</c:formatCode>
                  <c:ptCount val="4"/>
                  <c:pt idx="0">
                    <c:v>51.884487084291386</c:v>
                  </c:pt>
                  <c:pt idx="1">
                    <c:v>46.144699948459177</c:v>
                  </c:pt>
                  <c:pt idx="2">
                    <c:v>19.798989873223331</c:v>
                  </c:pt>
                  <c:pt idx="3">
                    <c:v>82.129978286453579</c:v>
                  </c:pt>
                </c:numCache>
              </c:numRef>
            </c:plus>
            <c:minus>
              <c:numRef>
                <c:f>'T=2'!$L$3:$L$6</c:f>
                <c:numCache>
                  <c:formatCode>General</c:formatCode>
                  <c:ptCount val="4"/>
                  <c:pt idx="0">
                    <c:v>51.884487084291386</c:v>
                  </c:pt>
                  <c:pt idx="1">
                    <c:v>46.144699948459177</c:v>
                  </c:pt>
                  <c:pt idx="2">
                    <c:v>19.798989873223331</c:v>
                  </c:pt>
                  <c:pt idx="3">
                    <c:v>82.129978286453579</c:v>
                  </c:pt>
                </c:numCache>
              </c:numRef>
            </c:minus>
          </c:errBars>
          <c:cat>
            <c:strRef>
              <c:f>'T=2'!$J$3:$J$8</c:f>
              <c:strCache>
                <c:ptCount val="4"/>
                <c:pt idx="0">
                  <c:v>LVS</c:v>
                </c:pt>
                <c:pt idx="1">
                  <c:v>∆pigR</c:v>
                </c:pt>
                <c:pt idx="2">
                  <c:v>∆pmrA </c:v>
                </c:pt>
                <c:pt idx="3">
                  <c:v>∆pmrA(BD)</c:v>
                </c:pt>
              </c:strCache>
            </c:strRef>
          </c:cat>
          <c:val>
            <c:numRef>
              <c:f>'T=2'!$K$3:$K$6</c:f>
              <c:numCache>
                <c:formatCode>0.00E+00</c:formatCode>
                <c:ptCount val="4"/>
                <c:pt idx="0">
                  <c:v>226</c:v>
                </c:pt>
                <c:pt idx="1">
                  <c:v>235.33333333333334</c:v>
                </c:pt>
                <c:pt idx="2">
                  <c:v>195.33333333333334</c:v>
                </c:pt>
                <c:pt idx="3">
                  <c:v>179.33333333333334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6</xdr:row>
      <xdr:rowOff>152400</xdr:rowOff>
    </xdr:from>
    <xdr:to>
      <xdr:col>21</xdr:col>
      <xdr:colOff>457200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222250</xdr:colOff>
      <xdr:row>9</xdr:row>
      <xdr:rowOff>19050</xdr:rowOff>
    </xdr:from>
    <xdr:to>
      <xdr:col>8</xdr:col>
      <xdr:colOff>165100</xdr:colOff>
      <xdr:row>36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68B95F-77A8-4729-9DDC-7FD64036E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25400</xdr:rowOff>
    </xdr:from>
    <xdr:to>
      <xdr:col>10</xdr:col>
      <xdr:colOff>527050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</xdr:row>
      <xdr:rowOff>76200</xdr:rowOff>
    </xdr:from>
    <xdr:to>
      <xdr:col>15</xdr:col>
      <xdr:colOff>736600</xdr:colOff>
      <xdr:row>24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showRuler="0" topLeftCell="I4" zoomScale="125" zoomScaleNormal="125" zoomScalePageLayoutView="125" workbookViewId="0">
      <selection activeCell="O30" sqref="O30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8" width="10.83203125" bestFit="1" customWidth="1"/>
    <col min="9" max="9" width="4.33203125" customWidth="1"/>
    <col min="10" max="10" width="16.33203125" customWidth="1"/>
    <col min="11" max="13" width="4.33203125" customWidth="1"/>
    <col min="14" max="14" width="3.5" customWidth="1"/>
    <col min="15" max="15" width="29.6640625" bestFit="1" customWidth="1"/>
    <col min="16" max="16" width="8.83203125" bestFit="1" customWidth="1"/>
    <col min="18" max="18" width="26" bestFit="1" customWidth="1"/>
    <col min="19" max="19" width="15.33203125" bestFit="1" customWidth="1"/>
  </cols>
  <sheetData>
    <row r="1" spans="1:24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76</v>
      </c>
      <c r="Q1" s="3" t="s">
        <v>77</v>
      </c>
    </row>
    <row r="2" spans="1:24" x14ac:dyDescent="0.35">
      <c r="A2" s="4" t="s">
        <v>2</v>
      </c>
      <c r="B2" s="9" t="s">
        <v>30</v>
      </c>
      <c r="C2" s="9" t="s">
        <v>30</v>
      </c>
      <c r="D2" s="9" t="s">
        <v>30</v>
      </c>
      <c r="E2" s="6"/>
      <c r="F2" s="47" t="s">
        <v>99</v>
      </c>
      <c r="G2" s="47" t="s">
        <v>99</v>
      </c>
      <c r="H2" s="47" t="s">
        <v>99</v>
      </c>
      <c r="I2" s="5"/>
      <c r="J2" s="6" t="s">
        <v>70</v>
      </c>
      <c r="K2" s="6"/>
      <c r="L2" s="6"/>
      <c r="M2" s="6"/>
      <c r="O2" s="1" t="s">
        <v>4</v>
      </c>
      <c r="P2" s="7">
        <v>20000</v>
      </c>
      <c r="Q2" s="7">
        <v>20000</v>
      </c>
    </row>
    <row r="3" spans="1:24" x14ac:dyDescent="0.35">
      <c r="A3" s="4" t="s">
        <v>5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6</v>
      </c>
      <c r="P3" s="1">
        <v>0.2</v>
      </c>
      <c r="Q3" s="1">
        <v>0.2</v>
      </c>
    </row>
    <row r="4" spans="1:24" x14ac:dyDescent="0.35">
      <c r="A4" s="4" t="s">
        <v>7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8</v>
      </c>
      <c r="P4" s="7">
        <f>P2/P3</f>
        <v>100000</v>
      </c>
      <c r="Q4" s="7">
        <f>Q2/Q3</f>
        <v>100000</v>
      </c>
    </row>
    <row r="5" spans="1:24" x14ac:dyDescent="0.35">
      <c r="A5" s="4" t="s">
        <v>9</v>
      </c>
      <c r="B5" s="9" t="s">
        <v>102</v>
      </c>
      <c r="C5" s="9" t="s">
        <v>102</v>
      </c>
      <c r="D5" s="9" t="s">
        <v>102</v>
      </c>
      <c r="E5" s="9"/>
      <c r="F5" s="6" t="s">
        <v>103</v>
      </c>
      <c r="G5" s="6" t="s">
        <v>103</v>
      </c>
      <c r="H5" s="6" t="s">
        <v>103</v>
      </c>
      <c r="I5" s="9"/>
      <c r="J5" s="6" t="s">
        <v>3</v>
      </c>
      <c r="K5" s="6"/>
      <c r="M5" s="1"/>
      <c r="O5" s="1" t="s">
        <v>10</v>
      </c>
      <c r="P5" s="1">
        <v>7</v>
      </c>
      <c r="Q5" s="1">
        <v>7</v>
      </c>
    </row>
    <row r="6" spans="1:24" x14ac:dyDescent="0.35">
      <c r="A6" s="4" t="s">
        <v>11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12</v>
      </c>
      <c r="P6" s="7">
        <v>195000</v>
      </c>
      <c r="Q6" s="7">
        <v>210000</v>
      </c>
    </row>
    <row r="7" spans="1:24" x14ac:dyDescent="0.35">
      <c r="A7" s="4" t="s">
        <v>13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14</v>
      </c>
      <c r="P7" s="28">
        <v>3.6</v>
      </c>
      <c r="Q7" s="28">
        <v>3.5</v>
      </c>
      <c r="R7" s="14"/>
    </row>
    <row r="8" spans="1:24" x14ac:dyDescent="0.35">
      <c r="A8" s="4" t="s">
        <v>15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  <c r="O8" s="1" t="s">
        <v>16</v>
      </c>
      <c r="P8" s="28">
        <f>P5-P7</f>
        <v>3.4</v>
      </c>
      <c r="Q8" s="28">
        <f>Q5-Q7</f>
        <v>3.5</v>
      </c>
      <c r="V8" s="14"/>
      <c r="X8" s="14"/>
    </row>
    <row r="9" spans="1:24" x14ac:dyDescent="0.35">
      <c r="A9" s="4" t="s">
        <v>17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18</v>
      </c>
      <c r="P9" s="7">
        <v>105000</v>
      </c>
      <c r="Q9" s="7">
        <v>92500</v>
      </c>
    </row>
    <row r="10" spans="1:24" x14ac:dyDescent="0.35">
      <c r="H10" s="14"/>
      <c r="O10" s="1" t="s">
        <v>19</v>
      </c>
      <c r="P10" s="7">
        <f>P9*0.2</f>
        <v>21000</v>
      </c>
      <c r="Q10" s="7">
        <f>Q9*0.2</f>
        <v>18500</v>
      </c>
    </row>
    <row r="15" spans="1:24" x14ac:dyDescent="0.35">
      <c r="C15" s="15"/>
      <c r="P15" t="s">
        <v>21</v>
      </c>
    </row>
    <row r="16" spans="1:24" ht="16" thickBot="1" x14ac:dyDescent="0.4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20</v>
      </c>
      <c r="P16" s="3" t="s">
        <v>76</v>
      </c>
      <c r="Q16" s="3" t="s">
        <v>77</v>
      </c>
    </row>
    <row r="17" spans="1:18" x14ac:dyDescent="0.35">
      <c r="A17" s="4" t="s">
        <v>2</v>
      </c>
      <c r="B17" s="9" t="s">
        <v>30</v>
      </c>
      <c r="C17" s="9" t="s">
        <v>30</v>
      </c>
      <c r="D17" s="9" t="s">
        <v>30</v>
      </c>
      <c r="E17" s="6"/>
      <c r="F17" s="47" t="s">
        <v>99</v>
      </c>
      <c r="G17" s="47" t="s">
        <v>99</v>
      </c>
      <c r="H17" s="47" t="s">
        <v>99</v>
      </c>
      <c r="I17" s="5"/>
      <c r="J17" s="6" t="s">
        <v>70</v>
      </c>
      <c r="K17" s="6"/>
      <c r="L17" s="6"/>
      <c r="M17" s="6"/>
      <c r="O17" s="1" t="s">
        <v>22</v>
      </c>
      <c r="P17" s="17">
        <v>5</v>
      </c>
      <c r="Q17" s="17">
        <v>5</v>
      </c>
    </row>
    <row r="18" spans="1:18" x14ac:dyDescent="0.35">
      <c r="A18" s="4" t="s">
        <v>5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23</v>
      </c>
      <c r="P18" s="18">
        <f>P10</f>
        <v>21000</v>
      </c>
      <c r="Q18" s="18">
        <f>Q10</f>
        <v>18500</v>
      </c>
    </row>
    <row r="19" spans="1:18" x14ac:dyDescent="0.35">
      <c r="A19" s="4" t="s">
        <v>7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24</v>
      </c>
      <c r="P19" s="17">
        <v>0.05</v>
      </c>
      <c r="Q19" s="17">
        <v>0.05</v>
      </c>
    </row>
    <row r="20" spans="1:18" ht="31" x14ac:dyDescent="0.35">
      <c r="A20" s="4" t="s">
        <v>9</v>
      </c>
      <c r="B20" s="9" t="s">
        <v>102</v>
      </c>
      <c r="C20" s="9" t="s">
        <v>102</v>
      </c>
      <c r="D20" s="9" t="s">
        <v>102</v>
      </c>
      <c r="E20" s="9"/>
      <c r="F20" s="6" t="s">
        <v>103</v>
      </c>
      <c r="G20" s="6" t="s">
        <v>103</v>
      </c>
      <c r="H20" s="6" t="s">
        <v>103</v>
      </c>
      <c r="I20" s="9"/>
      <c r="J20" s="6" t="s">
        <v>3</v>
      </c>
      <c r="K20" s="6"/>
      <c r="M20" s="1"/>
      <c r="O20" s="19" t="s">
        <v>25</v>
      </c>
      <c r="P20" s="18">
        <f>(P18*P17/P19)</f>
        <v>2100000</v>
      </c>
      <c r="Q20" s="18">
        <f>(Q18*Q17/Q19)</f>
        <v>1850000</v>
      </c>
    </row>
    <row r="21" spans="1:18" x14ac:dyDescent="0.35">
      <c r="A21" s="4" t="s">
        <v>11</v>
      </c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26</v>
      </c>
      <c r="P21" s="18">
        <v>5810000000</v>
      </c>
      <c r="Q21" s="18">
        <v>5810000000</v>
      </c>
    </row>
    <row r="22" spans="1:18" x14ac:dyDescent="0.35">
      <c r="A22" s="4" t="s">
        <v>13</v>
      </c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27</v>
      </c>
      <c r="P22" s="20">
        <f>P20/P21</f>
        <v>3.6144578313253013E-4</v>
      </c>
      <c r="Q22" s="20">
        <f>Q20/Q21</f>
        <v>3.1841652323580036E-4</v>
      </c>
    </row>
    <row r="23" spans="1:18" x14ac:dyDescent="0.35">
      <c r="A23" s="4" t="s">
        <v>15</v>
      </c>
      <c r="B23" s="8"/>
      <c r="C23" s="11"/>
      <c r="D23" s="9"/>
      <c r="E23" s="9"/>
      <c r="F23" s="9"/>
      <c r="G23" s="9"/>
      <c r="H23" s="9"/>
      <c r="I23" s="1"/>
      <c r="J23" s="9"/>
      <c r="K23" s="9"/>
      <c r="L23" s="9"/>
      <c r="M23" s="9"/>
      <c r="O23" s="1" t="s">
        <v>28</v>
      </c>
      <c r="P23" s="21">
        <v>3.5999999999999997E-2</v>
      </c>
      <c r="Q23" s="21">
        <v>0.03</v>
      </c>
    </row>
    <row r="24" spans="1:18" x14ac:dyDescent="0.35">
      <c r="A24" s="4" t="s">
        <v>17</v>
      </c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29</v>
      </c>
      <c r="P24" s="1">
        <v>3.6000000000000002E-4</v>
      </c>
      <c r="Q24" s="1">
        <f>Q23/100</f>
        <v>2.9999999999999997E-4</v>
      </c>
    </row>
    <row r="25" spans="1:18" x14ac:dyDescent="0.35">
      <c r="C25" s="15"/>
    </row>
    <row r="26" spans="1:18" x14ac:dyDescent="0.35">
      <c r="C26" s="15"/>
      <c r="G26" s="10">
        <v>1</v>
      </c>
      <c r="H26" s="9" t="s">
        <v>30</v>
      </c>
      <c r="P26" t="s">
        <v>0</v>
      </c>
    </row>
    <row r="27" spans="1:18" x14ac:dyDescent="0.35">
      <c r="G27" s="10">
        <v>2</v>
      </c>
      <c r="H27" s="47" t="s">
        <v>99</v>
      </c>
    </row>
    <row r="28" spans="1:18" ht="31" x14ac:dyDescent="0.35">
      <c r="G28" s="10">
        <v>3</v>
      </c>
      <c r="H28" s="9" t="s">
        <v>100</v>
      </c>
    </row>
    <row r="29" spans="1:18" x14ac:dyDescent="0.35">
      <c r="G29" s="10">
        <v>4</v>
      </c>
      <c r="H29" s="6" t="s">
        <v>75</v>
      </c>
      <c r="R29" s="14"/>
    </row>
  </sheetData>
  <phoneticPr fontId="4" type="noConversion"/>
  <pageMargins left="0.75" right="0.75" top="1" bottom="1" header="0.5" footer="0.5"/>
  <pageSetup scale="7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BB3C-F057-4DC1-A4BC-265ABDBB76EC}">
  <dimension ref="A1:M9"/>
  <sheetViews>
    <sheetView workbookViewId="0">
      <selection activeCell="E3" sqref="E3"/>
    </sheetView>
  </sheetViews>
  <sheetFormatPr defaultRowHeight="15.5" x14ac:dyDescent="0.35"/>
  <cols>
    <col min="2" max="2" width="11.25" bestFit="1" customWidth="1"/>
    <col min="7" max="7" width="20.83203125" customWidth="1"/>
  </cols>
  <sheetData>
    <row r="1" spans="1:13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3" x14ac:dyDescent="0.35">
      <c r="A2" s="4" t="s">
        <v>2</v>
      </c>
      <c r="B2" s="9"/>
      <c r="C2" s="9"/>
      <c r="D2" s="9"/>
      <c r="E2" s="6"/>
      <c r="F2" s="9"/>
      <c r="G2" s="9" t="s">
        <v>95</v>
      </c>
      <c r="H2" s="9"/>
      <c r="I2" s="5"/>
      <c r="J2" s="6"/>
      <c r="K2" s="6"/>
      <c r="L2" s="6"/>
      <c r="M2" s="6"/>
    </row>
    <row r="3" spans="1:13" x14ac:dyDescent="0.35">
      <c r="A3" s="4" t="s">
        <v>5</v>
      </c>
      <c r="B3" s="46">
        <v>4.8611111111111112E-2</v>
      </c>
      <c r="C3" s="43"/>
      <c r="D3" s="44"/>
      <c r="E3" s="44"/>
      <c r="F3" s="9"/>
      <c r="G3" s="9" t="s">
        <v>96</v>
      </c>
      <c r="H3" s="9"/>
      <c r="I3" s="9"/>
      <c r="J3" s="9"/>
      <c r="K3" s="9"/>
      <c r="L3" s="10"/>
      <c r="M3" s="1"/>
    </row>
    <row r="4" spans="1:13" x14ac:dyDescent="0.35">
      <c r="A4" s="4" t="s">
        <v>7</v>
      </c>
      <c r="B4" s="45" t="str">
        <f>"1:100"</f>
        <v>1:100</v>
      </c>
      <c r="C4" s="45"/>
      <c r="D4" s="45"/>
      <c r="E4" s="44"/>
      <c r="F4" s="6"/>
      <c r="G4" s="6" t="s">
        <v>96</v>
      </c>
      <c r="H4" s="6"/>
      <c r="I4" s="9"/>
      <c r="J4" s="6"/>
      <c r="K4" s="6"/>
      <c r="L4" s="6"/>
      <c r="M4" s="1"/>
    </row>
    <row r="5" spans="1:13" x14ac:dyDescent="0.35">
      <c r="A5" s="4" t="s">
        <v>9</v>
      </c>
      <c r="B5" s="44" t="s">
        <v>97</v>
      </c>
      <c r="C5" s="44"/>
      <c r="D5" s="44"/>
      <c r="E5" s="44"/>
      <c r="F5" s="6"/>
      <c r="G5" s="6" t="s">
        <v>96</v>
      </c>
      <c r="H5" s="6"/>
      <c r="I5" s="9"/>
      <c r="J5" s="6"/>
      <c r="K5" s="6"/>
      <c r="M5" s="1"/>
    </row>
    <row r="6" spans="1:13" x14ac:dyDescent="0.35">
      <c r="A6" s="4" t="s">
        <v>11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</row>
    <row r="7" spans="1:13" x14ac:dyDescent="0.35">
      <c r="A7" s="4" t="s">
        <v>13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</row>
    <row r="8" spans="1:13" x14ac:dyDescent="0.35">
      <c r="A8" s="4" t="s">
        <v>15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</row>
    <row r="9" spans="1:13" x14ac:dyDescent="0.35">
      <c r="A9" s="4" t="s">
        <v>17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6"/>
  <sheetViews>
    <sheetView showRuler="0" topLeftCell="H1" workbookViewId="0">
      <selection activeCell="U4" sqref="U4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3" x14ac:dyDescent="0.35">
      <c r="A1" s="3" t="s">
        <v>0</v>
      </c>
      <c r="B1" s="3"/>
      <c r="C1" s="50" t="s">
        <v>59</v>
      </c>
      <c r="D1" s="50"/>
      <c r="E1" s="50"/>
      <c r="F1" s="35"/>
      <c r="G1" s="50" t="s">
        <v>60</v>
      </c>
      <c r="H1" s="50"/>
      <c r="I1" s="50"/>
      <c r="J1" s="23"/>
    </row>
    <row r="2" spans="1:23" ht="46.5" x14ac:dyDescent="0.35">
      <c r="A2" s="22"/>
      <c r="B2" s="22" t="s">
        <v>50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39" t="s">
        <v>33</v>
      </c>
      <c r="L2" s="26" t="s">
        <v>53</v>
      </c>
      <c r="M2" s="26" t="s">
        <v>37</v>
      </c>
      <c r="N2" s="36"/>
      <c r="O2" s="1"/>
      <c r="P2" s="26" t="s">
        <v>54</v>
      </c>
      <c r="Q2" s="22" t="s">
        <v>55</v>
      </c>
      <c r="R2" s="39" t="s">
        <v>56</v>
      </c>
      <c r="S2" s="16" t="s">
        <v>72</v>
      </c>
      <c r="T2" s="16" t="s">
        <v>63</v>
      </c>
    </row>
    <row r="3" spans="1:23" x14ac:dyDescent="0.35">
      <c r="A3" s="51" t="s">
        <v>30</v>
      </c>
      <c r="B3" s="10" t="s">
        <v>38</v>
      </c>
      <c r="C3" s="17" t="s">
        <v>39</v>
      </c>
      <c r="D3" s="17"/>
      <c r="E3" s="32">
        <v>25</v>
      </c>
      <c r="F3" s="32"/>
      <c r="G3" s="17" t="s">
        <v>39</v>
      </c>
      <c r="H3" s="17"/>
      <c r="I3" s="32">
        <v>27</v>
      </c>
      <c r="J3" s="32"/>
      <c r="K3" s="17">
        <v>0.01</v>
      </c>
      <c r="L3" s="29">
        <f>AVERAGE(E3,J3)</f>
        <v>25</v>
      </c>
      <c r="M3" s="7">
        <f>(L3/(0.01*K3))*0.2</f>
        <v>50000</v>
      </c>
      <c r="N3" s="14"/>
      <c r="O3" s="9" t="s">
        <v>30</v>
      </c>
      <c r="P3" s="7">
        <f>AVERAGE(M3:M5)</f>
        <v>61000</v>
      </c>
      <c r="Q3" s="7">
        <f>STDEV(M3:M5)</f>
        <v>19924.858845171275</v>
      </c>
      <c r="R3">
        <v>17.38095238095238</v>
      </c>
      <c r="S3" s="1"/>
      <c r="T3" s="13">
        <f>IF(P3/$P$3&gt;=1,P3/$P$3,-$P$3/P3)</f>
        <v>1</v>
      </c>
      <c r="W3" t="s">
        <v>108</v>
      </c>
    </row>
    <row r="4" spans="1:23" x14ac:dyDescent="0.35">
      <c r="A4" s="51"/>
      <c r="B4" s="10" t="s">
        <v>41</v>
      </c>
      <c r="C4" s="17" t="s">
        <v>39</v>
      </c>
      <c r="D4" s="17"/>
      <c r="E4" s="32">
        <v>42</v>
      </c>
      <c r="F4" s="32"/>
      <c r="G4" s="17" t="s">
        <v>39</v>
      </c>
      <c r="H4" s="17"/>
      <c r="I4" s="32">
        <v>42</v>
      </c>
      <c r="J4" s="32"/>
      <c r="K4" s="17">
        <v>0.01</v>
      </c>
      <c r="L4" s="29">
        <f>AVERAGE(E4,I4)</f>
        <v>42</v>
      </c>
      <c r="M4" s="7">
        <f>(L4/(0.01*K4))*0.2</f>
        <v>84000</v>
      </c>
      <c r="N4" s="14"/>
      <c r="O4" s="9" t="s">
        <v>99</v>
      </c>
      <c r="P4" s="7">
        <f>AVERAGE(M6:M8)</f>
        <v>96.666666666666671</v>
      </c>
      <c r="Q4" s="7">
        <f>STDEV(M6:M8)</f>
        <v>42.394968254892397</v>
      </c>
      <c r="R4">
        <v>10.357142857142858</v>
      </c>
      <c r="S4" s="21">
        <f>TTEST(M3:M5,M6:M8,2,2)</f>
        <v>6.1108357877349487E-3</v>
      </c>
      <c r="T4" s="13">
        <f>IF(P4/$P$3&gt;=1,P4/$P$3,-$P$3/P4)</f>
        <v>-631.0344827586207</v>
      </c>
      <c r="W4">
        <f>TTEST(M9:M11,M12:M14,2,2)</f>
        <v>7.8647927142191626E-2</v>
      </c>
    </row>
    <row r="5" spans="1:23" x14ac:dyDescent="0.35">
      <c r="A5" s="51"/>
      <c r="B5" s="10" t="s">
        <v>64</v>
      </c>
      <c r="C5" s="17" t="s">
        <v>39</v>
      </c>
      <c r="D5" s="17"/>
      <c r="E5" s="32">
        <v>15</v>
      </c>
      <c r="F5" s="32"/>
      <c r="G5" s="17" t="s">
        <v>39</v>
      </c>
      <c r="H5" s="17"/>
      <c r="I5" s="32">
        <v>34</v>
      </c>
      <c r="J5" s="32"/>
      <c r="K5" s="17">
        <v>0.01</v>
      </c>
      <c r="L5" s="29">
        <f>AVERAGE(E5,I5)</f>
        <v>24.5</v>
      </c>
      <c r="M5" s="7">
        <f>(L5/(0.01*K5))*0.2</f>
        <v>49000</v>
      </c>
      <c r="N5" s="14"/>
      <c r="O5" s="9" t="s">
        <v>104</v>
      </c>
      <c r="P5" s="7">
        <f>AVERAGE(M9:M11)</f>
        <v>2223.3333333333335</v>
      </c>
      <c r="Q5" s="7">
        <f>STDEV(M9:M11)</f>
        <v>1315.0792118094382</v>
      </c>
      <c r="R5">
        <v>2.2619047619047619</v>
      </c>
      <c r="S5" s="21">
        <f>TTEST(M3:M5,M9:M11,2,2)</f>
        <v>6.9908190154613472E-3</v>
      </c>
      <c r="T5" s="13">
        <f>IF(P5/$P$3&gt;=1,P5/$P$3,-$P$3/P5)</f>
        <v>-27.436281859070462</v>
      </c>
    </row>
    <row r="6" spans="1:23" x14ac:dyDescent="0.35">
      <c r="A6" s="52" t="s">
        <v>101</v>
      </c>
      <c r="B6" s="10" t="s">
        <v>42</v>
      </c>
      <c r="C6" s="17">
        <v>14</v>
      </c>
      <c r="D6" s="17"/>
      <c r="E6" s="32"/>
      <c r="F6" s="32"/>
      <c r="G6" s="17">
        <v>31</v>
      </c>
      <c r="H6" s="17"/>
      <c r="I6" s="32"/>
      <c r="J6" s="32"/>
      <c r="K6" s="17">
        <v>1</v>
      </c>
      <c r="L6" s="29">
        <f>AVERAGE(C6,G6)</f>
        <v>22.5</v>
      </c>
      <c r="M6" s="7">
        <f>(L6/(0.05*K6))*0.2</f>
        <v>90</v>
      </c>
      <c r="N6" s="14"/>
      <c r="O6" s="9" t="s">
        <v>103</v>
      </c>
      <c r="P6" s="7">
        <f>AVERAGE(M12:M14)</f>
        <v>426.66666666666669</v>
      </c>
      <c r="Q6" s="7">
        <f>STDEV(M12:M14)</f>
        <v>162.58331197676259</v>
      </c>
      <c r="R6">
        <v>5.833333333333333</v>
      </c>
      <c r="S6" s="21">
        <f>TTEST(M3:M5,M12:M14,2,2)</f>
        <v>6.2315296503286689E-3</v>
      </c>
      <c r="T6" s="13">
        <f>IF(P6/$P$3&gt;=1,P6/$P$3,-$P$3/P6)</f>
        <v>-142.96875</v>
      </c>
      <c r="V6" s="14"/>
    </row>
    <row r="7" spans="1:23" ht="15" customHeight="1" x14ac:dyDescent="0.35">
      <c r="A7" s="49"/>
      <c r="B7" s="10" t="s">
        <v>43</v>
      </c>
      <c r="C7" s="17">
        <v>46</v>
      </c>
      <c r="D7" s="17"/>
      <c r="E7" s="32"/>
      <c r="F7" s="32"/>
      <c r="G7" s="17">
        <v>25</v>
      </c>
      <c r="H7" s="17"/>
      <c r="I7" s="32"/>
      <c r="J7" s="32"/>
      <c r="K7" s="17">
        <v>1</v>
      </c>
      <c r="L7" s="29">
        <f t="shared" ref="L7:L8" si="0">AVERAGE(C7,G7)</f>
        <v>35.5</v>
      </c>
      <c r="M7" s="7">
        <f t="shared" ref="M7:M8" si="1">(L7/(0.05*K7))*0.2</f>
        <v>142</v>
      </c>
      <c r="N7" s="14"/>
    </row>
    <row r="8" spans="1:23" ht="15" customHeight="1" x14ac:dyDescent="0.35">
      <c r="A8" s="49"/>
      <c r="B8" s="10" t="s">
        <v>67</v>
      </c>
      <c r="C8" s="17">
        <v>7</v>
      </c>
      <c r="D8" s="17"/>
      <c r="E8" s="32"/>
      <c r="F8" s="32"/>
      <c r="G8" s="17">
        <v>22</v>
      </c>
      <c r="H8" s="17"/>
      <c r="I8" s="32"/>
      <c r="J8" s="32"/>
      <c r="K8" s="17">
        <v>1</v>
      </c>
      <c r="L8" s="29">
        <f t="shared" si="0"/>
        <v>14.5</v>
      </c>
      <c r="M8" s="7">
        <f t="shared" si="1"/>
        <v>58</v>
      </c>
      <c r="N8" s="14"/>
    </row>
    <row r="9" spans="1:23" ht="15" customHeight="1" x14ac:dyDescent="0.35">
      <c r="A9" s="49" t="s">
        <v>104</v>
      </c>
      <c r="B9" s="10" t="s">
        <v>44</v>
      </c>
      <c r="C9" s="17">
        <v>46</v>
      </c>
      <c r="D9" s="32"/>
      <c r="E9" s="17"/>
      <c r="F9" s="17"/>
      <c r="G9" s="34">
        <v>52</v>
      </c>
      <c r="H9" s="32"/>
      <c r="I9" s="17"/>
      <c r="J9" s="17"/>
      <c r="K9" s="17">
        <v>1</v>
      </c>
      <c r="L9" s="1">
        <f>AVERAGE(C9,G9)</f>
        <v>49</v>
      </c>
      <c r="M9" s="7">
        <f t="shared" ref="M9:M11" si="2">(L9/(0.01*K9))*0.2</f>
        <v>980</v>
      </c>
      <c r="N9" s="14"/>
    </row>
    <row r="10" spans="1:23" x14ac:dyDescent="0.35">
      <c r="A10" s="49"/>
      <c r="B10" s="10" t="s">
        <v>45</v>
      </c>
      <c r="C10" s="17">
        <v>97</v>
      </c>
      <c r="D10" s="32"/>
      <c r="E10" s="17"/>
      <c r="F10" s="17"/>
      <c r="G10" s="17">
        <v>112</v>
      </c>
      <c r="H10" s="32"/>
      <c r="I10" s="17"/>
      <c r="J10" s="17"/>
      <c r="K10" s="17">
        <v>1</v>
      </c>
      <c r="L10" s="1">
        <f t="shared" ref="L10" si="3">AVERAGE(C10,G10)</f>
        <v>104.5</v>
      </c>
      <c r="M10" s="7">
        <f t="shared" si="2"/>
        <v>2090</v>
      </c>
      <c r="N10" s="14"/>
    </row>
    <row r="11" spans="1:23" ht="15" customHeight="1" x14ac:dyDescent="0.35">
      <c r="A11" s="49"/>
      <c r="B11" s="10" t="s">
        <v>65</v>
      </c>
      <c r="C11" s="17"/>
      <c r="D11" s="32">
        <v>22</v>
      </c>
      <c r="E11" s="17"/>
      <c r="F11" s="17"/>
      <c r="G11" s="17"/>
      <c r="H11" s="32">
        <v>14</v>
      </c>
      <c r="I11" s="17"/>
      <c r="J11" s="17"/>
      <c r="K11" s="17">
        <v>0.1</v>
      </c>
      <c r="L11" s="1">
        <f>AVERAGE(D11,H11)</f>
        <v>18</v>
      </c>
      <c r="M11" s="7">
        <f t="shared" si="2"/>
        <v>3600</v>
      </c>
      <c r="N11" s="14"/>
    </row>
    <row r="12" spans="1:23" ht="16" customHeight="1" x14ac:dyDescent="0.35">
      <c r="A12" s="49" t="s">
        <v>107</v>
      </c>
      <c r="B12" s="10" t="s">
        <v>46</v>
      </c>
      <c r="C12" s="32">
        <v>23</v>
      </c>
      <c r="D12" s="17"/>
      <c r="E12" s="32"/>
      <c r="F12" s="32"/>
      <c r="G12" s="38">
        <v>23</v>
      </c>
      <c r="H12" s="17"/>
      <c r="I12" s="32"/>
      <c r="J12" s="32"/>
      <c r="K12" s="17">
        <v>1</v>
      </c>
      <c r="L12" s="1">
        <f>AVERAGE(C12,G12)</f>
        <v>23</v>
      </c>
      <c r="M12" s="7">
        <f>(L12/(0.01*K12))*0.2</f>
        <v>460</v>
      </c>
      <c r="N12" s="14"/>
    </row>
    <row r="13" spans="1:23" ht="15" customHeight="1" x14ac:dyDescent="0.35">
      <c r="A13" s="49"/>
      <c r="B13" s="10" t="s">
        <v>47</v>
      </c>
      <c r="C13" s="32">
        <v>31</v>
      </c>
      <c r="D13" s="17"/>
      <c r="E13" s="32"/>
      <c r="F13" s="32"/>
      <c r="G13" s="32">
        <v>26</v>
      </c>
      <c r="H13" s="17"/>
      <c r="I13" s="32"/>
      <c r="J13" s="32"/>
      <c r="K13" s="17">
        <v>1</v>
      </c>
      <c r="L13" s="1">
        <f>AVERAGE(C13,G13)</f>
        <v>28.5</v>
      </c>
      <c r="M13" s="7">
        <f>(L13/(0.01*K13))*0.2</f>
        <v>570</v>
      </c>
      <c r="N13" s="14"/>
    </row>
    <row r="14" spans="1:23" x14ac:dyDescent="0.35">
      <c r="A14" s="49"/>
      <c r="B14" s="10" t="s">
        <v>66</v>
      </c>
      <c r="C14" s="32">
        <v>15</v>
      </c>
      <c r="D14" s="32"/>
      <c r="E14" s="32"/>
      <c r="F14" s="32"/>
      <c r="G14" s="32">
        <v>10</v>
      </c>
      <c r="H14" s="32"/>
      <c r="I14" s="32"/>
      <c r="J14" s="32"/>
      <c r="K14" s="17">
        <v>1</v>
      </c>
      <c r="L14" s="1">
        <f>AVERAGE(C14,G14)</f>
        <v>12.5</v>
      </c>
      <c r="M14" s="7">
        <f t="shared" ref="M14" si="4">(L14/(0.01*K14))*0.2</f>
        <v>250</v>
      </c>
      <c r="N14" s="14"/>
    </row>
    <row r="15" spans="1:23" x14ac:dyDescent="0.35">
      <c r="A15" s="33" t="s">
        <v>68</v>
      </c>
      <c r="B15" s="10"/>
      <c r="C15" s="17">
        <v>0</v>
      </c>
      <c r="D15" s="17" t="s">
        <v>40</v>
      </c>
      <c r="E15" s="17" t="s">
        <v>40</v>
      </c>
      <c r="F15" s="17"/>
      <c r="G15" s="17" t="s">
        <v>40</v>
      </c>
      <c r="H15" s="17" t="s">
        <v>40</v>
      </c>
      <c r="I15" s="17" t="s">
        <v>40</v>
      </c>
      <c r="J15" s="17"/>
      <c r="K15" s="17">
        <v>1</v>
      </c>
      <c r="L15" s="29">
        <f>AVERAGE(C15)</f>
        <v>0</v>
      </c>
      <c r="M15" s="7">
        <f>(L15/(0.1*K15))*0.2</f>
        <v>0</v>
      </c>
      <c r="N15" s="14"/>
    </row>
    <row r="16" spans="1:23" x14ac:dyDescent="0.35">
      <c r="A16" s="33" t="s">
        <v>69</v>
      </c>
      <c r="B16" s="10"/>
      <c r="C16" s="17">
        <v>0</v>
      </c>
      <c r="D16" s="17" t="s">
        <v>40</v>
      </c>
      <c r="E16" s="17" t="s">
        <v>40</v>
      </c>
      <c r="F16" s="17"/>
      <c r="G16" s="17" t="s">
        <v>40</v>
      </c>
      <c r="H16" s="17" t="s">
        <v>40</v>
      </c>
      <c r="I16" s="17" t="s">
        <v>40</v>
      </c>
      <c r="J16" s="17"/>
      <c r="K16" s="17">
        <v>1</v>
      </c>
      <c r="L16" s="29">
        <f>AVERAGE(C16)</f>
        <v>0</v>
      </c>
      <c r="M16" s="7">
        <f>(L16/(0.1*K16))*0.2</f>
        <v>0</v>
      </c>
      <c r="N16" s="14"/>
    </row>
    <row r="17" spans="1:14" x14ac:dyDescent="0.35">
      <c r="A17" s="1" t="s">
        <v>48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1E-3</v>
      </c>
      <c r="G17" s="1">
        <v>1</v>
      </c>
      <c r="H17" s="1">
        <f>G17/10</f>
        <v>0.1</v>
      </c>
      <c r="I17" s="1">
        <f>H17/10</f>
        <v>0.01</v>
      </c>
      <c r="J17">
        <v>1E-3</v>
      </c>
      <c r="M17" s="14"/>
      <c r="N17" s="14"/>
    </row>
    <row r="18" spans="1:14" x14ac:dyDescent="0.35">
      <c r="A18" s="48" t="s">
        <v>71</v>
      </c>
      <c r="B18" s="48"/>
      <c r="C18" s="48"/>
    </row>
    <row r="19" spans="1:14" x14ac:dyDescent="0.35">
      <c r="A19" s="48" t="s">
        <v>61</v>
      </c>
      <c r="B19" s="48"/>
      <c r="C19" s="48"/>
      <c r="D19" s="37"/>
    </row>
    <row r="25" spans="1:14" x14ac:dyDescent="0.35">
      <c r="I25" s="14"/>
      <c r="J25" s="14"/>
    </row>
    <row r="26" spans="1:14" x14ac:dyDescent="0.35">
      <c r="I26" s="14"/>
      <c r="J26" s="14"/>
    </row>
  </sheetData>
  <mergeCells count="8">
    <mergeCell ref="A19:C19"/>
    <mergeCell ref="A18:C18"/>
    <mergeCell ref="A12:A14"/>
    <mergeCell ref="C1:E1"/>
    <mergeCell ref="G1:I1"/>
    <mergeCell ref="A3:A5"/>
    <mergeCell ref="A6:A8"/>
    <mergeCell ref="A9:A11"/>
  </mergeCells>
  <phoneticPr fontId="4" type="noConversion"/>
  <pageMargins left="0.75" right="0.75" top="1" bottom="1" header="0.5" footer="0.5"/>
  <pageSetup scale="46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A736-FC9E-4401-A4C6-4402BAD23BCC}">
  <dimension ref="C2:G6"/>
  <sheetViews>
    <sheetView topLeftCell="A3" zoomScale="87" workbookViewId="0">
      <selection activeCell="K25" sqref="K25"/>
    </sheetView>
  </sheetViews>
  <sheetFormatPr defaultRowHeight="15.5" x14ac:dyDescent="0.35"/>
  <cols>
    <col min="3" max="3" width="10.58203125" customWidth="1"/>
    <col min="4" max="5" width="18.83203125" customWidth="1"/>
    <col min="6" max="6" width="26.08203125" customWidth="1"/>
  </cols>
  <sheetData>
    <row r="2" spans="3:7" x14ac:dyDescent="0.35">
      <c r="D2" t="s">
        <v>111</v>
      </c>
      <c r="E2" t="s">
        <v>55</v>
      </c>
      <c r="F2" t="s">
        <v>110</v>
      </c>
      <c r="G2" t="s">
        <v>55</v>
      </c>
    </row>
    <row r="3" spans="3:7" x14ac:dyDescent="0.35">
      <c r="C3" t="s">
        <v>30</v>
      </c>
      <c r="D3">
        <v>226</v>
      </c>
      <c r="E3">
        <v>51.884487084291386</v>
      </c>
      <c r="F3">
        <v>61000</v>
      </c>
      <c r="G3">
        <v>19924.858845171275</v>
      </c>
    </row>
    <row r="4" spans="3:7" x14ac:dyDescent="0.35">
      <c r="C4" t="s">
        <v>99</v>
      </c>
      <c r="D4">
        <v>235.33333333333334</v>
      </c>
      <c r="E4">
        <v>46.144699948459177</v>
      </c>
      <c r="F4">
        <v>96.666666666666671</v>
      </c>
      <c r="G4">
        <v>42.394968254892397</v>
      </c>
    </row>
    <row r="5" spans="3:7" x14ac:dyDescent="0.35">
      <c r="C5" t="s">
        <v>104</v>
      </c>
      <c r="D5">
        <v>195.33333333333334</v>
      </c>
      <c r="E5">
        <v>19.798989873223331</v>
      </c>
      <c r="F5">
        <v>2223.3333333333335</v>
      </c>
      <c r="G5">
        <v>1315.0792118094382</v>
      </c>
    </row>
    <row r="6" spans="3:7" x14ac:dyDescent="0.35">
      <c r="C6" t="s">
        <v>109</v>
      </c>
      <c r="D6">
        <v>179.33333333333334</v>
      </c>
      <c r="E6">
        <v>82.129978286453579</v>
      </c>
      <c r="F6">
        <v>426.66666666666669</v>
      </c>
      <c r="G6">
        <v>162.58331197676259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workbookViewId="0">
      <selection activeCell="D11" sqref="D11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50" t="s">
        <v>79</v>
      </c>
      <c r="C1" s="50"/>
    </row>
    <row r="2" spans="1:4" x14ac:dyDescent="0.35">
      <c r="A2" s="22" t="s">
        <v>94</v>
      </c>
      <c r="B2" s="23" t="s">
        <v>81</v>
      </c>
      <c r="C2" s="23" t="s">
        <v>82</v>
      </c>
      <c r="D2" s="22" t="s">
        <v>85</v>
      </c>
    </row>
    <row r="3" spans="1:4" x14ac:dyDescent="0.35">
      <c r="A3" s="1" t="s">
        <v>80</v>
      </c>
      <c r="B3" s="17">
        <v>8</v>
      </c>
      <c r="C3" s="40"/>
      <c r="D3" s="1" t="s">
        <v>86</v>
      </c>
    </row>
    <row r="4" spans="1:4" x14ac:dyDescent="0.35">
      <c r="A4" s="1" t="s">
        <v>83</v>
      </c>
      <c r="B4" s="17">
        <v>0</v>
      </c>
      <c r="C4" s="40">
        <v>8</v>
      </c>
      <c r="D4" s="1" t="s">
        <v>87</v>
      </c>
    </row>
    <row r="5" spans="1:4" x14ac:dyDescent="0.35">
      <c r="A5" s="1" t="s">
        <v>84</v>
      </c>
      <c r="B5" s="17">
        <v>26</v>
      </c>
      <c r="C5" s="40"/>
      <c r="D5" s="1" t="s">
        <v>88</v>
      </c>
    </row>
    <row r="6" spans="1:4" ht="31" x14ac:dyDescent="0.35">
      <c r="A6" s="1" t="s">
        <v>89</v>
      </c>
      <c r="B6" s="17">
        <v>8</v>
      </c>
      <c r="C6" s="40">
        <v>18</v>
      </c>
      <c r="D6" s="19" t="s">
        <v>98</v>
      </c>
    </row>
    <row r="7" spans="1:4" x14ac:dyDescent="0.35">
      <c r="A7" s="22" t="s">
        <v>90</v>
      </c>
      <c r="B7" s="32">
        <f>SUM(B3:B6)</f>
        <v>42</v>
      </c>
      <c r="C7" s="42">
        <f>SUM(C3:C6)</f>
        <v>26</v>
      </c>
      <c r="D7" s="1"/>
    </row>
    <row r="8" spans="1:4" x14ac:dyDescent="0.35">
      <c r="A8" s="1" t="s">
        <v>91</v>
      </c>
      <c r="B8" s="17">
        <f>B7/25</f>
        <v>1.68</v>
      </c>
      <c r="C8" s="40">
        <f>C7/20</f>
        <v>1.3</v>
      </c>
      <c r="D8" s="1" t="s">
        <v>93</v>
      </c>
    </row>
    <row r="9" spans="1:4" x14ac:dyDescent="0.35">
      <c r="A9" s="22" t="s">
        <v>92</v>
      </c>
      <c r="B9" s="32">
        <f>SUM(B8:C8)</f>
        <v>2.98</v>
      </c>
      <c r="C9" s="41"/>
    </row>
  </sheetData>
  <mergeCells count="1">
    <mergeCell ref="B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"/>
  <sheetViews>
    <sheetView showRuler="0" topLeftCell="A9" workbookViewId="0">
      <selection activeCell="M16" sqref="M16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3" x14ac:dyDescent="0.35">
      <c r="A1" s="22" t="s">
        <v>31</v>
      </c>
      <c r="B1" s="23"/>
      <c r="C1" s="53"/>
      <c r="D1" s="53"/>
      <c r="E1" s="53"/>
      <c r="F1" s="53"/>
    </row>
    <row r="2" spans="1:13" ht="46.5" x14ac:dyDescent="0.35">
      <c r="A2" s="22"/>
      <c r="B2" s="24" t="s">
        <v>32</v>
      </c>
      <c r="C2" s="22">
        <v>1</v>
      </c>
      <c r="D2" s="22">
        <v>2</v>
      </c>
      <c r="E2" s="25">
        <v>3</v>
      </c>
      <c r="F2" s="22">
        <v>4</v>
      </c>
      <c r="G2" s="26" t="s">
        <v>33</v>
      </c>
      <c r="H2" s="26" t="s">
        <v>34</v>
      </c>
      <c r="I2" s="26" t="s">
        <v>35</v>
      </c>
      <c r="J2" s="26" t="s">
        <v>36</v>
      </c>
      <c r="K2" s="26" t="s">
        <v>49</v>
      </c>
      <c r="L2" s="26" t="s">
        <v>36</v>
      </c>
      <c r="M2" s="16" t="s">
        <v>78</v>
      </c>
    </row>
    <row r="3" spans="1:13" x14ac:dyDescent="0.35">
      <c r="A3" s="49" t="s">
        <v>30</v>
      </c>
      <c r="B3" s="27" t="s">
        <v>38</v>
      </c>
      <c r="C3" s="17" t="s">
        <v>39</v>
      </c>
      <c r="D3" s="17" t="s">
        <v>39</v>
      </c>
      <c r="E3" s="17" t="s">
        <v>39</v>
      </c>
      <c r="F3" s="17">
        <v>71</v>
      </c>
      <c r="G3" s="17">
        <v>1E-3</v>
      </c>
      <c r="H3" s="18">
        <f>F3/(G3*0.01)</f>
        <v>7099999.9999999991</v>
      </c>
      <c r="I3" s="7">
        <f>AVERAGE(H3:H4)</f>
        <v>7299999.9999999991</v>
      </c>
      <c r="J3" s="7">
        <f>STDEV(H3:H4)</f>
        <v>282842.71247461904</v>
      </c>
      <c r="K3" s="7">
        <f>I3*0.05</f>
        <v>365000</v>
      </c>
      <c r="L3" s="7">
        <f>J3*0.05</f>
        <v>14142.135623730952</v>
      </c>
      <c r="M3" s="28">
        <f>K3/21000</f>
        <v>17.38095238095238</v>
      </c>
    </row>
    <row r="4" spans="1:13" x14ac:dyDescent="0.35">
      <c r="A4" s="49"/>
      <c r="B4" s="27" t="s">
        <v>41</v>
      </c>
      <c r="C4" s="17" t="s">
        <v>39</v>
      </c>
      <c r="D4" s="17" t="s">
        <v>39</v>
      </c>
      <c r="E4" s="17" t="s">
        <v>39</v>
      </c>
      <c r="F4" s="17">
        <v>75</v>
      </c>
      <c r="G4" s="17">
        <v>1E-3</v>
      </c>
      <c r="H4" s="18">
        <f t="shared" ref="H4:H10" si="0">F4/(G4*0.01)</f>
        <v>7499999.9999999991</v>
      </c>
      <c r="I4" s="29"/>
      <c r="J4" s="29"/>
      <c r="K4" s="7"/>
      <c r="L4" s="7"/>
      <c r="M4" s="28"/>
    </row>
    <row r="5" spans="1:13" x14ac:dyDescent="0.35">
      <c r="A5" s="52" t="s">
        <v>99</v>
      </c>
      <c r="B5" s="27" t="s">
        <v>42</v>
      </c>
      <c r="C5" s="17" t="s">
        <v>39</v>
      </c>
      <c r="D5" s="17" t="s">
        <v>39</v>
      </c>
      <c r="E5" s="17" t="s">
        <v>39</v>
      </c>
      <c r="F5" s="17">
        <v>43</v>
      </c>
      <c r="G5" s="17">
        <v>1E-3</v>
      </c>
      <c r="H5" s="18">
        <f t="shared" si="0"/>
        <v>4300000</v>
      </c>
      <c r="I5" s="7">
        <f>AVERAGE(H5:H6)</f>
        <v>4350000</v>
      </c>
      <c r="J5" s="7">
        <f>STDEV(H5:H6)</f>
        <v>70710.67811865476</v>
      </c>
      <c r="K5" s="7">
        <f>I5*0.05</f>
        <v>217500</v>
      </c>
      <c r="L5" s="7">
        <f>J5*0.05</f>
        <v>3535.533905932738</v>
      </c>
      <c r="M5" s="28">
        <f>K5/21000</f>
        <v>10.357142857142858</v>
      </c>
    </row>
    <row r="6" spans="1:13" x14ac:dyDescent="0.35">
      <c r="A6" s="49"/>
      <c r="B6" s="27" t="s">
        <v>43</v>
      </c>
      <c r="C6" s="17" t="s">
        <v>39</v>
      </c>
      <c r="D6" s="17" t="s">
        <v>39</v>
      </c>
      <c r="E6" s="17" t="s">
        <v>39</v>
      </c>
      <c r="F6" s="17">
        <v>44</v>
      </c>
      <c r="G6" s="17">
        <v>1E-3</v>
      </c>
      <c r="H6" s="18">
        <f t="shared" si="0"/>
        <v>4400000</v>
      </c>
      <c r="I6" s="29"/>
      <c r="J6" s="29"/>
      <c r="K6" s="7"/>
      <c r="L6" s="7"/>
      <c r="M6" s="28"/>
    </row>
    <row r="7" spans="1:13" x14ac:dyDescent="0.35">
      <c r="A7" s="52" t="s">
        <v>104</v>
      </c>
      <c r="B7" s="27" t="s">
        <v>44</v>
      </c>
      <c r="C7" s="17" t="s">
        <v>39</v>
      </c>
      <c r="D7" s="17" t="s">
        <v>39</v>
      </c>
      <c r="E7" s="17" t="s">
        <v>39</v>
      </c>
      <c r="F7" s="17">
        <v>14</v>
      </c>
      <c r="G7" s="17">
        <v>1E-3</v>
      </c>
      <c r="H7" s="18">
        <f t="shared" si="0"/>
        <v>1400000</v>
      </c>
      <c r="I7" s="7">
        <f>AVERAGE(H7:H8)</f>
        <v>950000</v>
      </c>
      <c r="J7" s="7">
        <f>STDEV(H7:H8)</f>
        <v>636396.10306789272</v>
      </c>
      <c r="K7" s="7">
        <f>I7*0.05</f>
        <v>47500</v>
      </c>
      <c r="L7" s="7">
        <f>J7*0.05</f>
        <v>31819.805153394638</v>
      </c>
      <c r="M7" s="28">
        <f>K7/21000</f>
        <v>2.2619047619047619</v>
      </c>
    </row>
    <row r="8" spans="1:13" x14ac:dyDescent="0.35">
      <c r="A8" s="52"/>
      <c r="B8" s="27" t="s">
        <v>45</v>
      </c>
      <c r="C8" s="17" t="s">
        <v>39</v>
      </c>
      <c r="D8" s="17" t="s">
        <v>39</v>
      </c>
      <c r="E8" s="17" t="s">
        <v>39</v>
      </c>
      <c r="F8" s="17">
        <v>5</v>
      </c>
      <c r="G8" s="17">
        <v>1E-3</v>
      </c>
      <c r="H8" s="18">
        <f t="shared" si="0"/>
        <v>499999.99999999994</v>
      </c>
      <c r="I8" s="29"/>
      <c r="J8" s="29"/>
      <c r="K8" s="7"/>
      <c r="L8" s="7"/>
      <c r="M8" s="28"/>
    </row>
    <row r="9" spans="1:13" ht="16" customHeight="1" x14ac:dyDescent="0.35">
      <c r="A9" s="49" t="s">
        <v>105</v>
      </c>
      <c r="B9" s="27" t="s">
        <v>46</v>
      </c>
      <c r="C9" s="17" t="s">
        <v>39</v>
      </c>
      <c r="D9" s="17" t="s">
        <v>39</v>
      </c>
      <c r="E9" s="17" t="s">
        <v>39</v>
      </c>
      <c r="F9" s="17">
        <v>24</v>
      </c>
      <c r="G9" s="17">
        <v>1E-3</v>
      </c>
      <c r="H9" s="18">
        <f t="shared" si="0"/>
        <v>2400000</v>
      </c>
      <c r="I9" s="7">
        <f>AVERAGE(H9:H10)</f>
        <v>2450000</v>
      </c>
      <c r="J9" s="7">
        <f>STDEV(H9:H10)</f>
        <v>70710.67811865476</v>
      </c>
      <c r="K9" s="7">
        <f>I9*0.05</f>
        <v>122500</v>
      </c>
      <c r="L9" s="7">
        <f>J9*0.05</f>
        <v>3535.533905932738</v>
      </c>
      <c r="M9" s="28">
        <f>K9/21000</f>
        <v>5.833333333333333</v>
      </c>
    </row>
    <row r="10" spans="1:13" x14ac:dyDescent="0.35">
      <c r="A10" s="49"/>
      <c r="B10" s="27" t="s">
        <v>47</v>
      </c>
      <c r="C10" s="17" t="s">
        <v>39</v>
      </c>
      <c r="D10" s="17" t="s">
        <v>39</v>
      </c>
      <c r="E10" s="17" t="s">
        <v>39</v>
      </c>
      <c r="F10" s="17">
        <v>25</v>
      </c>
      <c r="G10" s="17">
        <v>1E-3</v>
      </c>
      <c r="H10" s="18">
        <f t="shared" si="0"/>
        <v>2500000</v>
      </c>
      <c r="I10" s="29"/>
      <c r="J10" s="29"/>
      <c r="K10" s="7"/>
      <c r="L10" s="7"/>
      <c r="M10" s="28"/>
    </row>
    <row r="11" spans="1:13" x14ac:dyDescent="0.35">
      <c r="A11" s="1" t="s">
        <v>48</v>
      </c>
      <c r="B11" s="1"/>
      <c r="C11" s="1">
        <v>1</v>
      </c>
      <c r="D11" s="1">
        <f>C11/10</f>
        <v>0.1</v>
      </c>
      <c r="E11" s="1">
        <f>D11/10</f>
        <v>0.01</v>
      </c>
      <c r="F11" s="1">
        <f>E11/10</f>
        <v>1E-3</v>
      </c>
    </row>
    <row r="13" spans="1:13" x14ac:dyDescent="0.35">
      <c r="A13" s="1"/>
      <c r="B13" s="1" t="s">
        <v>49</v>
      </c>
      <c r="C13" s="1" t="s">
        <v>36</v>
      </c>
    </row>
    <row r="14" spans="1:13" x14ac:dyDescent="0.35">
      <c r="A14" s="9" t="s">
        <v>30</v>
      </c>
      <c r="B14" s="7">
        <f>K3</f>
        <v>365000</v>
      </c>
      <c r="C14" s="7">
        <f>L3</f>
        <v>14142.135623730952</v>
      </c>
    </row>
    <row r="15" spans="1:13" x14ac:dyDescent="0.35">
      <c r="A15" s="47" t="s">
        <v>99</v>
      </c>
      <c r="B15" s="7">
        <f>K5</f>
        <v>217500</v>
      </c>
      <c r="C15" s="7">
        <f>L5</f>
        <v>3535.533905932738</v>
      </c>
    </row>
    <row r="16" spans="1:13" x14ac:dyDescent="0.35">
      <c r="A16" s="9" t="s">
        <v>102</v>
      </c>
      <c r="B16" s="7">
        <f>K7</f>
        <v>47500</v>
      </c>
      <c r="C16" s="7">
        <f>L7</f>
        <v>31819.805153394638</v>
      </c>
    </row>
    <row r="17" spans="1:3" x14ac:dyDescent="0.35">
      <c r="A17" s="9" t="s">
        <v>103</v>
      </c>
      <c r="B17" s="7">
        <f>K9</f>
        <v>122500</v>
      </c>
      <c r="C17" s="7">
        <f>L9</f>
        <v>3535.533905932738</v>
      </c>
    </row>
  </sheetData>
  <mergeCells count="5">
    <mergeCell ref="A5:A6"/>
    <mergeCell ref="A3:A4"/>
    <mergeCell ref="A7:A8"/>
    <mergeCell ref="A9:A10"/>
    <mergeCell ref="C1:F1"/>
  </mergeCells>
  <phoneticPr fontId="4" type="noConversion"/>
  <pageMargins left="0.75" right="0.75" top="1" bottom="1" header="0.5" footer="0.5"/>
  <pageSetup scale="60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8"/>
  <sheetViews>
    <sheetView tabSelected="1" showRuler="0" topLeftCell="A3" zoomScale="90" workbookViewId="0">
      <selection activeCell="C3" sqref="C3:D14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3"/>
      <c r="B1" s="3"/>
      <c r="E1" s="3"/>
      <c r="F1" s="3"/>
      <c r="G1" s="23"/>
      <c r="H1" s="23"/>
      <c r="I1" s="23"/>
      <c r="J1" s="30"/>
      <c r="K1" s="30"/>
      <c r="L1" s="31"/>
      <c r="M1" s="31"/>
    </row>
    <row r="2" spans="1:25" ht="46.5" x14ac:dyDescent="0.35">
      <c r="A2" s="22"/>
      <c r="B2" s="35" t="s">
        <v>50</v>
      </c>
      <c r="C2" s="35" t="s">
        <v>51</v>
      </c>
      <c r="D2" s="35" t="s">
        <v>52</v>
      </c>
      <c r="E2" s="16" t="s">
        <v>33</v>
      </c>
      <c r="F2" s="16" t="s">
        <v>53</v>
      </c>
      <c r="G2" s="16" t="s">
        <v>37</v>
      </c>
      <c r="H2" s="16" t="s">
        <v>62</v>
      </c>
      <c r="J2" s="1"/>
      <c r="K2" s="26" t="s">
        <v>54</v>
      </c>
      <c r="L2" s="22" t="s">
        <v>55</v>
      </c>
      <c r="M2" s="39" t="s">
        <v>56</v>
      </c>
      <c r="N2" s="35" t="s">
        <v>62</v>
      </c>
      <c r="O2" s="16" t="s">
        <v>63</v>
      </c>
    </row>
    <row r="3" spans="1:25" x14ac:dyDescent="0.35">
      <c r="A3" s="51" t="s">
        <v>30</v>
      </c>
      <c r="B3" s="10" t="s">
        <v>38</v>
      </c>
      <c r="C3" s="32">
        <v>59</v>
      </c>
      <c r="D3" s="32">
        <v>75</v>
      </c>
      <c r="E3" s="17">
        <v>1</v>
      </c>
      <c r="F3" s="29">
        <f t="shared" ref="F3:F14" si="0">AVERAGE(C3,D3)</f>
        <v>67</v>
      </c>
      <c r="G3" s="7">
        <f>(F3/(0.05*E3))*0.2</f>
        <v>268</v>
      </c>
      <c r="H3" s="54">
        <f>TTEST(G3:G5,G3:G5,2,2)</f>
        <v>1</v>
      </c>
      <c r="I3" s="14"/>
      <c r="J3" s="9" t="s">
        <v>30</v>
      </c>
      <c r="K3" s="7">
        <f>AVERAGE(G3:G5)</f>
        <v>226</v>
      </c>
      <c r="L3" s="7">
        <f>STDEV(G3:G5)</f>
        <v>51.884487084291386</v>
      </c>
      <c r="M3">
        <v>17.38095238095238</v>
      </c>
      <c r="N3" s="21">
        <f>TTEST(G2:G4,G5:G7,2,2)</f>
        <v>0.50400334496791743</v>
      </c>
      <c r="O3" s="13">
        <f>IF(K3/$K$3&gt;=1,K3/$K$3,-$K$3/K3)</f>
        <v>1</v>
      </c>
      <c r="R3" s="14"/>
      <c r="T3" s="14"/>
      <c r="U3" s="14"/>
      <c r="V3" s="14"/>
      <c r="W3" s="14"/>
      <c r="X3" s="14"/>
      <c r="Y3" s="14"/>
    </row>
    <row r="4" spans="1:25" x14ac:dyDescent="0.35">
      <c r="A4" s="51"/>
      <c r="B4" s="10" t="s">
        <v>41</v>
      </c>
      <c r="C4" s="32">
        <v>30</v>
      </c>
      <c r="D4" s="32">
        <v>91</v>
      </c>
      <c r="E4" s="17">
        <v>1</v>
      </c>
      <c r="F4" s="29">
        <f t="shared" si="0"/>
        <v>60.5</v>
      </c>
      <c r="G4" s="7">
        <f t="shared" ref="G4:G14" si="1">(F4/(0.05*E4))*0.2</f>
        <v>242</v>
      </c>
      <c r="H4" s="54"/>
      <c r="J4" s="47" t="s">
        <v>99</v>
      </c>
      <c r="K4" s="7">
        <f>AVERAGE(G6:G8)</f>
        <v>235.33333333333334</v>
      </c>
      <c r="L4" s="7">
        <f>STDEV(G6:G8)</f>
        <v>46.144699948459177</v>
      </c>
      <c r="M4">
        <v>10.357142857142858</v>
      </c>
      <c r="N4" s="21">
        <f>TTEST(G3:G5,G6:G8,2,2)</f>
        <v>0.82733173717649144</v>
      </c>
      <c r="O4" s="13">
        <f>IF(K4/$K$3&gt;=1,K4/$K$3,-$K$3/K4)</f>
        <v>1.041297935103245</v>
      </c>
    </row>
    <row r="5" spans="1:25" x14ac:dyDescent="0.35">
      <c r="A5" s="51"/>
      <c r="B5" s="10" t="s">
        <v>64</v>
      </c>
      <c r="C5" s="32">
        <v>52</v>
      </c>
      <c r="D5" s="32">
        <v>32</v>
      </c>
      <c r="E5" s="17">
        <v>1</v>
      </c>
      <c r="F5" s="29">
        <f t="shared" si="0"/>
        <v>42</v>
      </c>
      <c r="G5" s="7">
        <f t="shared" si="1"/>
        <v>168</v>
      </c>
      <c r="H5" s="54"/>
      <c r="J5" s="9" t="s">
        <v>104</v>
      </c>
      <c r="K5" s="7">
        <f>AVERAGE(G9:G11)</f>
        <v>195.33333333333334</v>
      </c>
      <c r="L5" s="7">
        <f>STDEV(G10:G11)</f>
        <v>19.798989873223331</v>
      </c>
      <c r="M5">
        <v>2.2619047619047619</v>
      </c>
      <c r="N5" s="21">
        <f>TTEST(G3:G5,G10:G11,2,2)</f>
        <v>0.23108349067689643</v>
      </c>
      <c r="O5" s="13">
        <f>IF(K5/$K$3&gt;=1,K5/$K$3,-$K$3/K5)</f>
        <v>-1.1569965870307166</v>
      </c>
    </row>
    <row r="6" spans="1:25" ht="15" customHeight="1" x14ac:dyDescent="0.35">
      <c r="A6" s="49" t="s">
        <v>99</v>
      </c>
      <c r="B6" s="10" t="s">
        <v>42</v>
      </c>
      <c r="C6" s="32">
        <v>38</v>
      </c>
      <c r="D6" s="32">
        <v>63</v>
      </c>
      <c r="E6" s="17">
        <v>1</v>
      </c>
      <c r="F6" s="1">
        <f t="shared" si="0"/>
        <v>50.5</v>
      </c>
      <c r="G6" s="7">
        <f t="shared" si="1"/>
        <v>202</v>
      </c>
      <c r="H6" s="54">
        <f>TTEST(G6:G8,G3:G5,2,2)</f>
        <v>0.82733173717649144</v>
      </c>
      <c r="J6" s="9" t="s">
        <v>106</v>
      </c>
      <c r="K6" s="7">
        <f>AVERAGE(G12:G14)</f>
        <v>179.33333333333334</v>
      </c>
      <c r="L6" s="7">
        <f>STDEV(G12:G14)</f>
        <v>82.129978286453579</v>
      </c>
      <c r="M6">
        <v>5.833333333333333</v>
      </c>
      <c r="N6" s="21">
        <f>TTEST(G3:G5,G12:G14,2,2)</f>
        <v>0.45217664386216938</v>
      </c>
      <c r="O6" s="13">
        <f>IF(K6/$K$3&gt;=1,K6/$K$3,-$K$3/K6)</f>
        <v>-1.2602230483271375</v>
      </c>
    </row>
    <row r="7" spans="1:25" ht="15" customHeight="1" x14ac:dyDescent="0.35">
      <c r="A7" s="49"/>
      <c r="B7" s="10" t="s">
        <v>43</v>
      </c>
      <c r="C7" s="32">
        <v>59</v>
      </c>
      <c r="D7" s="32">
        <v>85</v>
      </c>
      <c r="E7" s="17">
        <v>1</v>
      </c>
      <c r="F7" s="1">
        <f t="shared" si="0"/>
        <v>72</v>
      </c>
      <c r="G7" s="7">
        <f t="shared" si="1"/>
        <v>288</v>
      </c>
      <c r="H7" s="54"/>
    </row>
    <row r="8" spans="1:25" x14ac:dyDescent="0.35">
      <c r="A8" s="49"/>
      <c r="B8" s="10" t="s">
        <v>67</v>
      </c>
      <c r="C8" s="32">
        <v>71</v>
      </c>
      <c r="D8" s="32">
        <v>37</v>
      </c>
      <c r="E8" s="17">
        <v>1</v>
      </c>
      <c r="F8" s="1">
        <f t="shared" si="0"/>
        <v>54</v>
      </c>
      <c r="G8" s="7">
        <f t="shared" si="1"/>
        <v>216</v>
      </c>
      <c r="H8" s="54"/>
    </row>
    <row r="9" spans="1:25" ht="15" customHeight="1" x14ac:dyDescent="0.35">
      <c r="A9" s="49" t="s">
        <v>104</v>
      </c>
      <c r="B9" s="10" t="s">
        <v>44</v>
      </c>
      <c r="C9" s="32">
        <v>73</v>
      </c>
      <c r="D9" s="32">
        <v>54</v>
      </c>
      <c r="E9" s="17">
        <v>1</v>
      </c>
      <c r="F9" s="1">
        <f t="shared" si="0"/>
        <v>63.5</v>
      </c>
      <c r="G9" s="7">
        <f t="shared" si="1"/>
        <v>254</v>
      </c>
      <c r="H9" s="54">
        <f>TTEST(G9:G11,G3:G5,2,2)</f>
        <v>0.51233438388575525</v>
      </c>
      <c r="J9" s="14"/>
    </row>
    <row r="10" spans="1:25" x14ac:dyDescent="0.35">
      <c r="A10" s="49"/>
      <c r="B10" s="10" t="s">
        <v>45</v>
      </c>
      <c r="C10" s="32">
        <v>35</v>
      </c>
      <c r="D10" s="32">
        <v>41</v>
      </c>
      <c r="E10" s="17">
        <v>1</v>
      </c>
      <c r="F10" s="1">
        <f t="shared" si="0"/>
        <v>38</v>
      </c>
      <c r="G10" s="7">
        <f t="shared" si="1"/>
        <v>152</v>
      </c>
      <c r="H10" s="54"/>
    </row>
    <row r="11" spans="1:25" ht="15" customHeight="1" x14ac:dyDescent="0.35">
      <c r="A11" s="49"/>
      <c r="B11" s="10" t="s">
        <v>65</v>
      </c>
      <c r="C11" s="32">
        <v>51</v>
      </c>
      <c r="D11" s="32">
        <v>39</v>
      </c>
      <c r="E11" s="17">
        <v>1</v>
      </c>
      <c r="F11" s="1">
        <f t="shared" si="0"/>
        <v>45</v>
      </c>
      <c r="G11" s="7">
        <f t="shared" si="1"/>
        <v>180</v>
      </c>
      <c r="H11" s="54"/>
    </row>
    <row r="12" spans="1:25" x14ac:dyDescent="0.35">
      <c r="A12" s="49" t="s">
        <v>105</v>
      </c>
      <c r="B12" s="10" t="s">
        <v>46</v>
      </c>
      <c r="C12" s="32">
        <v>58</v>
      </c>
      <c r="D12" s="32">
        <v>74</v>
      </c>
      <c r="E12" s="17">
        <v>1</v>
      </c>
      <c r="F12" s="1">
        <f t="shared" si="0"/>
        <v>66</v>
      </c>
      <c r="G12" s="7">
        <f t="shared" si="1"/>
        <v>264</v>
      </c>
      <c r="H12" s="54">
        <f>TTEST(G12:G14,G3:G5,2,2)</f>
        <v>0.45217664386216938</v>
      </c>
    </row>
    <row r="13" spans="1:25" ht="15" customHeight="1" x14ac:dyDescent="0.35">
      <c r="A13" s="49"/>
      <c r="B13" s="10" t="s">
        <v>47</v>
      </c>
      <c r="C13" s="32">
        <v>22</v>
      </c>
      <c r="D13" s="32">
        <v>65</v>
      </c>
      <c r="E13" s="17">
        <v>1</v>
      </c>
      <c r="F13" s="1">
        <f t="shared" si="0"/>
        <v>43.5</v>
      </c>
      <c r="G13" s="7">
        <f>(F13/(0.05*E13))*0.2</f>
        <v>174</v>
      </c>
      <c r="H13" s="54"/>
    </row>
    <row r="14" spans="1:25" x14ac:dyDescent="0.35">
      <c r="A14" s="49"/>
      <c r="B14" s="10" t="s">
        <v>66</v>
      </c>
      <c r="C14" s="32">
        <v>19</v>
      </c>
      <c r="D14" s="32">
        <v>31</v>
      </c>
      <c r="E14" s="17">
        <v>1</v>
      </c>
      <c r="F14" s="1">
        <f t="shared" si="0"/>
        <v>25</v>
      </c>
      <c r="G14" s="7">
        <f t="shared" si="1"/>
        <v>100</v>
      </c>
      <c r="H14" s="54"/>
    </row>
    <row r="15" spans="1:25" x14ac:dyDescent="0.35">
      <c r="A15" s="33" t="s">
        <v>73</v>
      </c>
      <c r="B15" s="10"/>
      <c r="C15" s="17">
        <v>0</v>
      </c>
      <c r="D15" s="17">
        <v>0</v>
      </c>
      <c r="E15" s="17"/>
      <c r="F15" s="1" t="s">
        <v>40</v>
      </c>
      <c r="G15" s="7" t="s">
        <v>40</v>
      </c>
    </row>
    <row r="16" spans="1:25" x14ac:dyDescent="0.35">
      <c r="A16" s="33" t="s">
        <v>74</v>
      </c>
      <c r="B16" s="10"/>
      <c r="C16" s="17">
        <v>0</v>
      </c>
      <c r="D16" s="17">
        <v>0</v>
      </c>
      <c r="E16" s="17"/>
      <c r="F16" s="1" t="s">
        <v>40</v>
      </c>
      <c r="G16" s="7" t="s">
        <v>40</v>
      </c>
      <c r="H16" s="14"/>
    </row>
    <row r="17" spans="1:8" x14ac:dyDescent="0.35">
      <c r="A17" s="37" t="s">
        <v>57</v>
      </c>
      <c r="H17" s="14"/>
    </row>
    <row r="18" spans="1:8" x14ac:dyDescent="0.35">
      <c r="A18" s="37" t="s">
        <v>58</v>
      </c>
    </row>
  </sheetData>
  <mergeCells count="8">
    <mergeCell ref="A3:A5"/>
    <mergeCell ref="A6:A8"/>
    <mergeCell ref="A9:A11"/>
    <mergeCell ref="A12:A14"/>
    <mergeCell ref="H6:H8"/>
    <mergeCell ref="H9:H11"/>
    <mergeCell ref="H12:H14"/>
    <mergeCell ref="H3:H5"/>
  </mergeCells>
  <phoneticPr fontId="4" type="noConversion"/>
  <pageMargins left="0.75" right="0.75" top="1" bottom="1" header="0.5" footer="0.5"/>
  <pageSetup scale="56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ExperimentalSetup</vt:lpstr>
      <vt:lpstr>Sheet1</vt:lpstr>
      <vt:lpstr>T=24</vt:lpstr>
      <vt:lpstr>Sheet2</vt:lpstr>
      <vt:lpstr>Plate Needs</vt:lpstr>
      <vt:lpstr>Inoculum</vt:lpstr>
      <vt:lpstr>T=2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Jamie</cp:lastModifiedBy>
  <cp:lastPrinted>2019-03-13T17:50:00Z</cp:lastPrinted>
  <dcterms:created xsi:type="dcterms:W3CDTF">2016-02-15T21:32:37Z</dcterms:created>
  <dcterms:modified xsi:type="dcterms:W3CDTF">2019-05-08T16:49:42Z</dcterms:modified>
</cp:coreProperties>
</file>