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Team Drives\KRamsey Lab\Jamie Wandzilak\"/>
    </mc:Choice>
  </mc:AlternateContent>
  <xr:revisionPtr revIDLastSave="0" documentId="13_ncr:1_{3EFF6AA6-D343-4AE7-A5F1-29FA68BE6280}" xr6:coauthVersionLast="40" xr6:coauthVersionMax="40" xr10:uidLastSave="{00000000-0000-0000-0000-000000000000}"/>
  <bookViews>
    <workbookView xWindow="0" yWindow="460" windowWidth="28800" windowHeight="16340" tabRatio="500" activeTab="5" xr2:uid="{00000000-000D-0000-FFFF-FFFF00000000}"/>
  </bookViews>
  <sheets>
    <sheet name="ExperimentalSetup" sheetId="1" r:id="rId1"/>
    <sheet name="Sheet1" sheetId="6" r:id="rId2"/>
    <sheet name="T=24" sheetId="3" r:id="rId3"/>
    <sheet name="Plate Needs" sheetId="5" r:id="rId4"/>
    <sheet name="Inoculum" sheetId="2" r:id="rId5"/>
    <sheet name="T=2" sheetId="4" r:id="rId6"/>
  </sheets>
  <calcPr calcId="181029"/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3" i="3"/>
  <c r="K3" i="3" s="1"/>
  <c r="K4" i="4"/>
  <c r="M9" i="2" l="1"/>
  <c r="M7" i="2"/>
  <c r="M5" i="2"/>
  <c r="M3" i="2"/>
  <c r="B4" i="6" l="1"/>
  <c r="C8" i="5" l="1"/>
  <c r="C7" i="5"/>
  <c r="B7" i="5"/>
  <c r="B8" i="5" s="1"/>
  <c r="B9" i="5" s="1"/>
  <c r="H3" i="2"/>
  <c r="Q8" i="1"/>
  <c r="Q24" i="1"/>
  <c r="Q10" i="1"/>
  <c r="Q18" i="1" s="1"/>
  <c r="Q20" i="1" s="1"/>
  <c r="Q4" i="1"/>
  <c r="P8" i="1" l="1"/>
  <c r="P10" i="1"/>
  <c r="P18" i="1" s="1"/>
  <c r="P20" i="1" s="1"/>
  <c r="P22" i="1" s="1"/>
  <c r="F3" i="4"/>
  <c r="G3" i="4" s="1"/>
  <c r="F4" i="4"/>
  <c r="G4" i="4" s="1"/>
  <c r="F5" i="4"/>
  <c r="G5" i="4" s="1"/>
  <c r="F6" i="4"/>
  <c r="G6" i="4" s="1"/>
  <c r="F7" i="4"/>
  <c r="G7" i="4" s="1"/>
  <c r="F8" i="4"/>
  <c r="G8" i="4" s="1"/>
  <c r="J10" i="3"/>
  <c r="K10" i="3" s="1"/>
  <c r="J11" i="3"/>
  <c r="J9" i="3"/>
  <c r="K9" i="3" s="1"/>
  <c r="K6" i="3"/>
  <c r="K7" i="3"/>
  <c r="K8" i="3"/>
  <c r="H9" i="2"/>
  <c r="H10" i="2"/>
  <c r="H7" i="2"/>
  <c r="H8" i="2"/>
  <c r="H5" i="2"/>
  <c r="I5" i="2" s="1"/>
  <c r="K5" i="2" s="1"/>
  <c r="H6" i="2"/>
  <c r="H4" i="2"/>
  <c r="J3" i="2" s="1"/>
  <c r="L3" i="2" s="1"/>
  <c r="C14" i="2" s="1"/>
  <c r="J14" i="3"/>
  <c r="K14" i="3" s="1"/>
  <c r="P4" i="1"/>
  <c r="K4" i="3"/>
  <c r="K5" i="3"/>
  <c r="J13" i="3"/>
  <c r="K13" i="3" s="1"/>
  <c r="J12" i="3"/>
  <c r="K12" i="3" s="1"/>
  <c r="F13" i="4"/>
  <c r="G13" i="4" s="1"/>
  <c r="J15" i="3"/>
  <c r="K15" i="3" s="1"/>
  <c r="J16" i="3"/>
  <c r="D17" i="3"/>
  <c r="E17" i="3"/>
  <c r="F10" i="4"/>
  <c r="G10" i="4" s="1"/>
  <c r="F11" i="4"/>
  <c r="G11" i="4" s="1"/>
  <c r="F12" i="4"/>
  <c r="G12" i="4" s="1"/>
  <c r="F14" i="4"/>
  <c r="G14" i="4" s="1"/>
  <c r="F9" i="4"/>
  <c r="G9" i="4" s="1"/>
  <c r="K11" i="3"/>
  <c r="D11" i="2"/>
  <c r="E11" i="2" s="1"/>
  <c r="F11" i="2" s="1"/>
  <c r="G17" i="3"/>
  <c r="H17" i="3"/>
  <c r="K16" i="3"/>
  <c r="P24" i="1"/>
  <c r="O5" i="3" l="1"/>
  <c r="N5" i="3"/>
  <c r="K6" i="4"/>
  <c r="J5" i="2"/>
  <c r="L5" i="2" s="1"/>
  <c r="C15" i="2" s="1"/>
  <c r="N4" i="3"/>
  <c r="I7" i="2"/>
  <c r="K7" i="2" s="1"/>
  <c r="I9" i="2"/>
  <c r="K9" i="2" s="1"/>
  <c r="I3" i="2"/>
  <c r="K3" i="2" s="1"/>
  <c r="J7" i="2"/>
  <c r="L7" i="2" s="1"/>
  <c r="C16" i="2" s="1"/>
  <c r="L4" i="4"/>
  <c r="K5" i="4"/>
  <c r="L5" i="4"/>
  <c r="B15" i="2"/>
  <c r="N6" i="3"/>
  <c r="O6" i="3"/>
  <c r="Q6" i="3"/>
  <c r="O3" i="3"/>
  <c r="N3" i="3"/>
  <c r="R3" i="3" s="1"/>
  <c r="Q4" i="3"/>
  <c r="Q5" i="3"/>
  <c r="H6" i="4"/>
  <c r="H3" i="4"/>
  <c r="K3" i="4"/>
  <c r="O3" i="4" s="1"/>
  <c r="N6" i="4"/>
  <c r="H9" i="4"/>
  <c r="N4" i="4"/>
  <c r="L3" i="4"/>
  <c r="N5" i="4"/>
  <c r="L6" i="4"/>
  <c r="O4" i="3"/>
  <c r="H12" i="4"/>
  <c r="J9" i="2"/>
  <c r="L9" i="2" s="1"/>
  <c r="C17" i="2" s="1"/>
  <c r="B17" i="2" l="1"/>
  <c r="O6" i="4"/>
  <c r="B16" i="2"/>
  <c r="B14" i="2"/>
  <c r="O5" i="4"/>
  <c r="R4" i="3"/>
  <c r="R6" i="3"/>
  <c r="O4" i="4"/>
  <c r="R5" i="3"/>
</calcChain>
</file>

<file path=xl/sharedStrings.xml><?xml version="1.0" encoding="utf-8"?>
<sst xmlns="http://schemas.openxmlformats.org/spreadsheetml/2006/main" count="249" uniqueCount="111">
  <si>
    <t xml:space="preserve"> </t>
  </si>
  <si>
    <t>Macrophage Calculations</t>
  </si>
  <si>
    <t>A</t>
  </si>
  <si>
    <t>mac only</t>
  </si>
  <si>
    <t>Cells per well</t>
  </si>
  <si>
    <t>B</t>
  </si>
  <si>
    <t>Volume to plate (mL)</t>
  </si>
  <si>
    <t>C</t>
  </si>
  <si>
    <t>Density needed (cells/mL)</t>
  </si>
  <si>
    <t>D</t>
  </si>
  <si>
    <t>Total volume needed (mL)</t>
  </si>
  <si>
    <t>E</t>
  </si>
  <si>
    <t>Measured cells per ml</t>
  </si>
  <si>
    <t>F</t>
  </si>
  <si>
    <t>Volume stock needed (mL)</t>
  </si>
  <si>
    <t>G</t>
  </si>
  <si>
    <t>Volume media for dilution</t>
  </si>
  <si>
    <t>H</t>
  </si>
  <si>
    <t>Measured cells per ml, seeded</t>
  </si>
  <si>
    <t>Measured cells per well</t>
  </si>
  <si>
    <t>Bacterial Calculations</t>
  </si>
  <si>
    <t xml:space="preserve">                    </t>
  </si>
  <si>
    <t>MOI</t>
  </si>
  <si>
    <t>Macrophage cells per well</t>
  </si>
  <si>
    <t>Volume bacteria to add (mL)</t>
  </si>
  <si>
    <t>Bacterial density needed (cells/mL)</t>
  </si>
  <si>
    <t>Cells/mL per OD600</t>
  </si>
  <si>
    <t>OD needed for given density</t>
  </si>
  <si>
    <t>Resuspend to</t>
  </si>
  <si>
    <t>Final MOI 5, dilute 1:100</t>
  </si>
  <si>
    <t>LVS</t>
  </si>
  <si>
    <t>Inoculum</t>
  </si>
  <si>
    <t>Replicate</t>
  </si>
  <si>
    <t>Dilution factor counted</t>
  </si>
  <si>
    <t>Cells / mL</t>
  </si>
  <si>
    <t>Average Cells / mL</t>
  </si>
  <si>
    <t>St dev</t>
  </si>
  <si>
    <t>CFU per well</t>
  </si>
  <si>
    <t>1A</t>
  </si>
  <si>
    <t>TMTC</t>
  </si>
  <si>
    <t>-</t>
  </si>
  <si>
    <t>1B</t>
  </si>
  <si>
    <t>2A</t>
  </si>
  <si>
    <t>2B</t>
  </si>
  <si>
    <t>3A</t>
  </si>
  <si>
    <t>3B</t>
  </si>
  <si>
    <t>4A</t>
  </si>
  <si>
    <t>4B</t>
  </si>
  <si>
    <t>Dilution Factor</t>
  </si>
  <si>
    <t>CFU/well</t>
  </si>
  <si>
    <t>Plate</t>
  </si>
  <si>
    <t>Plate 1</t>
  </si>
  <si>
    <t>Plate 2</t>
  </si>
  <si>
    <t>Average Cells</t>
  </si>
  <si>
    <t>Average CFU per well</t>
  </si>
  <si>
    <t>St Dev</t>
  </si>
  <si>
    <t>Original MOI</t>
  </si>
  <si>
    <t>50 ul cells plated</t>
  </si>
  <si>
    <t>*100 ul cells plated</t>
  </si>
  <si>
    <t>Track Plate 1</t>
  </si>
  <si>
    <t>Track Plate 2</t>
  </si>
  <si>
    <t>**Plated 100 ul on circular plate</t>
  </si>
  <si>
    <t>T-test</t>
  </si>
  <si>
    <t>Fold Change</t>
  </si>
  <si>
    <t>1C</t>
  </si>
  <si>
    <t>3C</t>
  </si>
  <si>
    <t>4C</t>
  </si>
  <si>
    <t>2C</t>
  </si>
  <si>
    <t>macrophage**</t>
  </si>
  <si>
    <t>LVS**</t>
  </si>
  <si>
    <t>LVS only</t>
  </si>
  <si>
    <t>*Plated 50 ul on circular plate</t>
  </si>
  <si>
    <t>T-test (vs LVS)</t>
  </si>
  <si>
    <t>macrophage*</t>
  </si>
  <si>
    <t>LVS*</t>
  </si>
  <si>
    <r>
      <t>∆</t>
    </r>
    <r>
      <rPr>
        <i/>
        <sz val="12"/>
        <color theme="1"/>
        <rFont val="Calibri"/>
        <family val="2"/>
        <scheme val="minor"/>
      </rPr>
      <t>pmrA</t>
    </r>
  </si>
  <si>
    <r>
      <rPr>
        <i/>
        <sz val="12"/>
        <color theme="1"/>
        <rFont val="Calibri"/>
        <family val="2"/>
        <scheme val="minor"/>
      </rPr>
      <t>priM</t>
    </r>
    <r>
      <rPr>
        <sz val="12"/>
        <color theme="1"/>
        <rFont val="Calibri"/>
        <family val="2"/>
        <scheme val="minor"/>
      </rPr>
      <t>-mtip2</t>
    </r>
  </si>
  <si>
    <r>
      <t>∆</t>
    </r>
    <r>
      <rPr>
        <i/>
        <sz val="12"/>
        <color theme="1"/>
        <rFont val="Calibri"/>
        <family val="2"/>
        <scheme val="minor"/>
      </rPr>
      <t>pmrA priM</t>
    </r>
    <r>
      <rPr>
        <sz val="12"/>
        <color theme="1"/>
        <rFont val="Calibri"/>
        <family val="2"/>
        <scheme val="minor"/>
      </rPr>
      <t>-mtip2</t>
    </r>
  </si>
  <si>
    <t>Actual</t>
  </si>
  <si>
    <t>Example</t>
  </si>
  <si>
    <t>MOI (based on number of seeded macrophage- see setup)</t>
  </si>
  <si>
    <r>
      <rPr>
        <b/>
        <i/>
        <sz val="12"/>
        <color theme="1"/>
        <rFont val="Calibri"/>
        <family val="2"/>
        <scheme val="minor"/>
      </rPr>
      <t>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</si>
  <si>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 xml:space="preserve"> priM-mtip2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</si>
  <si>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</si>
  <si>
    <r>
      <t>∆</t>
    </r>
    <r>
      <rPr>
        <b/>
        <i/>
        <sz val="12"/>
        <color theme="1"/>
        <rFont val="Calibri"/>
        <family val="2"/>
        <scheme val="minor"/>
      </rPr>
      <t>pmrA priM</t>
    </r>
    <r>
      <rPr>
        <b/>
        <sz val="12"/>
        <color theme="1"/>
        <rFont val="Calibri"/>
        <family val="2"/>
        <scheme val="minor"/>
      </rPr>
      <t>-mtip2</t>
    </r>
  </si>
  <si>
    <r>
      <t>∆</t>
    </r>
    <r>
      <rPr>
        <b/>
        <i/>
        <sz val="12"/>
        <color theme="1"/>
        <rFont val="Calibri"/>
        <family val="2"/>
        <scheme val="minor"/>
      </rPr>
      <t>pmrA</t>
    </r>
    <r>
      <rPr>
        <b/>
        <sz val="12"/>
        <color theme="1"/>
        <rFont val="Calibri"/>
        <family val="2"/>
        <scheme val="minor"/>
      </rPr>
      <t>*</t>
    </r>
  </si>
  <si>
    <t>Number of plates</t>
  </si>
  <si>
    <t>Patch strains for infections</t>
  </si>
  <si>
    <t>Round</t>
  </si>
  <si>
    <t>Square</t>
  </si>
  <si>
    <t>Plate inoculumns</t>
  </si>
  <si>
    <t>Timepoint 2 hours</t>
  </si>
  <si>
    <t>Notes</t>
  </si>
  <si>
    <t>2x each</t>
  </si>
  <si>
    <t>4 strains in duplicate</t>
  </si>
  <si>
    <t>3 wells plated in duplicate x 4 strains plus 2 plates for control wells</t>
  </si>
  <si>
    <t>Timepoint 24 hours</t>
  </si>
  <si>
    <t>Square: 3 wells plated in duplicate x 3 strains (LVS, priM-mtip2, ∆pmrA priM-mtip2); Round: 3 wells plated in duplicate (∆pmrA only), 2 plates for control wells</t>
  </si>
  <si>
    <t>Total plates</t>
  </si>
  <si>
    <t>Flasks of 600 mL CHA</t>
  </si>
  <si>
    <t>Total number of CHA flasks</t>
  </si>
  <si>
    <t>Round plates: 24 mL, 25 per flask; Square plates: 30 mL, 20 per flask</t>
  </si>
  <si>
    <t>Use</t>
  </si>
  <si>
    <t xml:space="preserve">  </t>
  </si>
  <si>
    <t>LVS / 1</t>
  </si>
  <si>
    <t>LVS mut / 2</t>
  </si>
  <si>
    <t>DpmrA mut / 3</t>
  </si>
  <si>
    <t>DpmrA / 4</t>
  </si>
  <si>
    <t>&lt;- inoculum</t>
  </si>
  <si>
    <t>PBS</t>
  </si>
  <si>
    <t>"=1:1000"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</si>
</sst>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/>
    <xf numFmtId="0" fontId="0" fillId="0" borderId="3" xfId="0" applyBorder="1"/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1" fontId="0" fillId="0" borderId="1" xfId="0" applyNumberFormat="1" applyBorder="1"/>
    <xf numFmtId="0" fontId="0" fillId="0" borderId="6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/>
    <xf numFmtId="1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Fill="1" applyBorder="1"/>
    <xf numFmtId="11" fontId="0" fillId="0" borderId="0" xfId="0" applyNumberFormat="1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11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0" fillId="0" borderId="0" xfId="0" applyNumberForma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6" xfId="0" applyFont="1" applyBorder="1"/>
    <xf numFmtId="0" fontId="3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11" fontId="0" fillId="0" borderId="0" xfId="0" applyNumberFormat="1" applyBorder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8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right"/>
    </xf>
    <xf numFmtId="0" fontId="0" fillId="3" borderId="1" xfId="0" applyFill="1" applyBorder="1"/>
    <xf numFmtId="0" fontId="0" fillId="3" borderId="1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20" fontId="0" fillId="3" borderId="6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202281567213699"/>
          <c:y val="4.4444444444444398E-2"/>
          <c:w val="0.696153353571767"/>
          <c:h val="0.707730574375877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'T=24'!$N$2</c:f>
              <c:strCache>
                <c:ptCount val="1"/>
                <c:pt idx="0">
                  <c:v>Average CFU per 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'T=24'!$O$3:$O$6</c:f>
                <c:numCache>
                  <c:formatCode>General</c:formatCode>
                  <c:ptCount val="4"/>
                  <c:pt idx="0">
                    <c:v>2902.2979401386992</c:v>
                  </c:pt>
                  <c:pt idx="1">
                    <c:v>5993.6077059925556</c:v>
                  </c:pt>
                  <c:pt idx="2">
                    <c:v>500</c:v>
                  </c:pt>
                  <c:pt idx="3">
                    <c:v>945.26468956231167</c:v>
                  </c:pt>
                </c:numCache>
              </c:numRef>
            </c:plus>
            <c:minus>
              <c:numRef>
                <c:f>'T=24'!$O$3:$O$6</c:f>
                <c:numCache>
                  <c:formatCode>General</c:formatCode>
                  <c:ptCount val="4"/>
                  <c:pt idx="0">
                    <c:v>2902.2979401386992</c:v>
                  </c:pt>
                  <c:pt idx="1">
                    <c:v>5993.6077059925556</c:v>
                  </c:pt>
                  <c:pt idx="2">
                    <c:v>500</c:v>
                  </c:pt>
                  <c:pt idx="3">
                    <c:v>945.26468956231167</c:v>
                  </c:pt>
                </c:numCache>
              </c:numRef>
            </c:minus>
          </c:errBars>
          <c:cat>
            <c:strRef>
              <c:f>'T=24'!$M$3:$M$6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'T=24'!$N$3:$N$6</c:f>
              <c:numCache>
                <c:formatCode>0.00E+00</c:formatCode>
                <c:ptCount val="4"/>
                <c:pt idx="0">
                  <c:v>6666.666666666667</c:v>
                </c:pt>
                <c:pt idx="1">
                  <c:v>9866.6666666666661</c:v>
                </c:pt>
                <c:pt idx="2">
                  <c:v>4200</c:v>
                </c:pt>
                <c:pt idx="3">
                  <c:v>1333.3333333333333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C-1340-A0AC-6C65CBE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4037064"/>
        <c:axId val="1793997192"/>
      </c:barChart>
      <c:catAx>
        <c:axId val="1794037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en-US"/>
          </a:p>
        </c:txPr>
        <c:crossAx val="1793997192"/>
        <c:crosses val="autoZero"/>
        <c:auto val="1"/>
        <c:lblAlgn val="ctr"/>
        <c:lblOffset val="100"/>
        <c:noMultiLvlLbl val="0"/>
      </c:catAx>
      <c:valAx>
        <c:axId val="1793997192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per well</a:t>
                </a:r>
              </a:p>
            </c:rich>
          </c:tx>
          <c:layout>
            <c:manualLayout>
              <c:xMode val="edge"/>
              <c:yMode val="edge"/>
              <c:x val="5.0508696554918504E-3"/>
              <c:y val="0.203767862350539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4037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Inoculum!$B$13</c:f>
              <c:strCache>
                <c:ptCount val="1"/>
                <c:pt idx="0">
                  <c:v>CFU/well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Inoculum!$C$14:$C$17</c:f>
                <c:numCache>
                  <c:formatCode>General</c:formatCode>
                  <c:ptCount val="4"/>
                  <c:pt idx="0">
                    <c:v>49497.474683058332</c:v>
                  </c:pt>
                  <c:pt idx="1">
                    <c:v>21213.203435596442</c:v>
                  </c:pt>
                  <c:pt idx="2">
                    <c:v>21213.203435596428</c:v>
                  </c:pt>
                  <c:pt idx="3">
                    <c:v>38890.872965259994</c:v>
                  </c:pt>
                </c:numCache>
              </c:numRef>
            </c:plus>
            <c:minus>
              <c:numRef>
                <c:f>Inoculum!$C$14:$C$17</c:f>
                <c:numCache>
                  <c:formatCode>General</c:formatCode>
                  <c:ptCount val="4"/>
                  <c:pt idx="0">
                    <c:v>49497.474683058332</c:v>
                  </c:pt>
                  <c:pt idx="1">
                    <c:v>21213.203435596442</c:v>
                  </c:pt>
                  <c:pt idx="2">
                    <c:v>21213.203435596428</c:v>
                  </c:pt>
                  <c:pt idx="3">
                    <c:v>38890.872965259994</c:v>
                  </c:pt>
                </c:numCache>
              </c:numRef>
            </c:minus>
          </c:errBars>
          <c:cat>
            <c:strRef>
              <c:f>Inoculum!$A$14:$A$17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Inoculum!$B$14:$B$17</c:f>
              <c:numCache>
                <c:formatCode>0.00E+00</c:formatCode>
                <c:ptCount val="4"/>
                <c:pt idx="0">
                  <c:v>190000</c:v>
                </c:pt>
                <c:pt idx="1">
                  <c:v>200000</c:v>
                </c:pt>
                <c:pt idx="2">
                  <c:v>115000</c:v>
                </c:pt>
                <c:pt idx="3">
                  <c:v>137500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7-9243-A823-DF797AE1F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418248"/>
        <c:axId val="1793373688"/>
      </c:barChart>
      <c:catAx>
        <c:axId val="1793418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93373688"/>
        <c:crosses val="autoZero"/>
        <c:auto val="1"/>
        <c:lblAlgn val="ctr"/>
        <c:lblOffset val="100"/>
        <c:noMultiLvlLbl val="0"/>
      </c:catAx>
      <c:valAx>
        <c:axId val="1793373688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Inoculumn</a:t>
                </a:r>
                <a:r>
                  <a:rPr lang="en-US" baseline="0"/>
                  <a:t> (CFU/well)</a:t>
                </a:r>
                <a:endParaRPr lang="en-US"/>
              </a:p>
            </c:rich>
          </c:tx>
          <c:overlay val="0"/>
        </c:title>
        <c:numFmt formatCode="0.00E+00" sourceLinked="1"/>
        <c:majorTickMark val="out"/>
        <c:minorTickMark val="none"/>
        <c:tickLblPos val="nextTo"/>
        <c:crossAx val="1793418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2951376361"/>
          <c:y val="5.9821077052868397E-2"/>
          <c:w val="0.77507651166245695"/>
          <c:h val="0.7534076233550391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'T=2'!$L$3:$L$6</c:f>
                <c:numCache>
                  <c:formatCode>General</c:formatCode>
                  <c:ptCount val="4"/>
                  <c:pt idx="0">
                    <c:v>24.027761721253469</c:v>
                  </c:pt>
                  <c:pt idx="1">
                    <c:v>201.51757574299401</c:v>
                  </c:pt>
                  <c:pt idx="2">
                    <c:v>16.970562748477139</c:v>
                  </c:pt>
                  <c:pt idx="3">
                    <c:v>13.316656236958787</c:v>
                  </c:pt>
                </c:numCache>
              </c:numRef>
            </c:plus>
            <c:minus>
              <c:numRef>
                <c:f>'T=2'!$L$3:$L$6</c:f>
                <c:numCache>
                  <c:formatCode>General</c:formatCode>
                  <c:ptCount val="4"/>
                  <c:pt idx="0">
                    <c:v>24.027761721253469</c:v>
                  </c:pt>
                  <c:pt idx="1">
                    <c:v>201.51757574299401</c:v>
                  </c:pt>
                  <c:pt idx="2">
                    <c:v>16.970562748477139</c:v>
                  </c:pt>
                  <c:pt idx="3">
                    <c:v>13.316656236958787</c:v>
                  </c:pt>
                </c:numCache>
              </c:numRef>
            </c:minus>
          </c:errBars>
          <c:cat>
            <c:strRef>
              <c:f>'T=2'!$J$3:$J$8</c:f>
              <c:strCache>
                <c:ptCount val="4"/>
                <c:pt idx="0">
                  <c:v>LVS</c:v>
                </c:pt>
                <c:pt idx="1">
                  <c:v>priM-mtip2</c:v>
                </c:pt>
                <c:pt idx="2">
                  <c:v>∆pmrA priM-mtip2</c:v>
                </c:pt>
                <c:pt idx="3">
                  <c:v>∆pmrA</c:v>
                </c:pt>
              </c:strCache>
            </c:strRef>
          </c:cat>
          <c:val>
            <c:numRef>
              <c:f>'T=2'!$K$3:$K$6</c:f>
              <c:numCache>
                <c:formatCode>0.00E+00</c:formatCode>
                <c:ptCount val="4"/>
                <c:pt idx="0">
                  <c:v>44.666666666666664</c:v>
                </c:pt>
                <c:pt idx="1">
                  <c:v>131.33333333333334</c:v>
                </c:pt>
                <c:pt idx="2">
                  <c:v>32</c:v>
                </c:pt>
                <c:pt idx="3">
                  <c:v>22.666666666666668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0-D844-9E5D-E914FA688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3656808"/>
        <c:axId val="1793638376"/>
      </c:barChart>
      <c:catAx>
        <c:axId val="179365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3638376"/>
        <c:crosses val="autoZero"/>
        <c:auto val="1"/>
        <c:lblAlgn val="ctr"/>
        <c:lblOffset val="100"/>
        <c:noMultiLvlLbl val="0"/>
      </c:catAx>
      <c:valAx>
        <c:axId val="1793638376"/>
        <c:scaling>
          <c:logBase val="1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CFU Recovered</a:t>
                </a:r>
              </a:p>
            </c:rich>
          </c:tx>
          <c:layout>
            <c:manualLayout>
              <c:xMode val="edge"/>
              <c:yMode val="edge"/>
              <c:x val="1.02669404517454E-2"/>
              <c:y val="0.18607775590551201"/>
            </c:manualLayout>
          </c:layout>
          <c:overlay val="0"/>
        </c:title>
        <c:numFmt formatCode="0.E+0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93656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6</xdr:row>
      <xdr:rowOff>152400</xdr:rowOff>
    </xdr:from>
    <xdr:to>
      <xdr:col>19</xdr:col>
      <xdr:colOff>457200</xdr:colOff>
      <xdr:row>23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158750</xdr:colOff>
      <xdr:row>12</xdr:row>
      <xdr:rowOff>25400</xdr:rowOff>
    </xdr:from>
    <xdr:to>
      <xdr:col>10</xdr:col>
      <xdr:colOff>527050</xdr:colOff>
      <xdr:row>27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76200</xdr:rowOff>
    </xdr:from>
    <xdr:to>
      <xdr:col>15</xdr:col>
      <xdr:colOff>736600</xdr:colOff>
      <xdr:row>24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showRuler="0" topLeftCell="J1" zoomScale="125" zoomScaleNormal="125" zoomScalePageLayoutView="125" workbookViewId="0">
      <selection activeCell="P10" sqref="P10"/>
    </sheetView>
  </sheetViews>
  <sheetFormatPr defaultColWidth="10.6640625" defaultRowHeight="15.5" x14ac:dyDescent="0.35"/>
  <cols>
    <col min="1" max="1" width="2.6640625" bestFit="1" customWidth="1"/>
    <col min="2" max="4" width="12" bestFit="1" customWidth="1"/>
    <col min="5" max="5" width="4.33203125" customWidth="1"/>
    <col min="6" max="8" width="10.83203125" bestFit="1" customWidth="1"/>
    <col min="9" max="9" width="4.33203125" customWidth="1"/>
    <col min="10" max="10" width="16.33203125" customWidth="1"/>
    <col min="11" max="13" width="4.33203125" customWidth="1"/>
    <col min="14" max="14" width="3.5" customWidth="1"/>
    <col min="15" max="15" width="29.6640625" bestFit="1" customWidth="1"/>
    <col min="16" max="16" width="8.83203125" bestFit="1" customWidth="1"/>
    <col min="18" max="18" width="26" bestFit="1" customWidth="1"/>
    <col min="19" max="19" width="15.33203125" bestFit="1" customWidth="1"/>
  </cols>
  <sheetData>
    <row r="1" spans="1:24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O1" s="3" t="s">
        <v>1</v>
      </c>
      <c r="P1" s="3" t="s">
        <v>78</v>
      </c>
      <c r="Q1" s="3" t="s">
        <v>79</v>
      </c>
    </row>
    <row r="2" spans="1:24" x14ac:dyDescent="0.35">
      <c r="A2" s="4" t="s">
        <v>2</v>
      </c>
      <c r="B2" s="9" t="s">
        <v>30</v>
      </c>
      <c r="C2" s="9" t="s">
        <v>30</v>
      </c>
      <c r="D2" s="9" t="s">
        <v>30</v>
      </c>
      <c r="E2" s="6"/>
      <c r="F2" s="9" t="s">
        <v>76</v>
      </c>
      <c r="G2" s="9" t="s">
        <v>76</v>
      </c>
      <c r="H2" s="9" t="s">
        <v>76</v>
      </c>
      <c r="I2" s="5"/>
      <c r="J2" s="6" t="s">
        <v>70</v>
      </c>
      <c r="K2" s="6"/>
      <c r="L2" s="6"/>
      <c r="M2" s="6"/>
      <c r="O2" s="1" t="s">
        <v>4</v>
      </c>
      <c r="P2" s="7">
        <v>20000</v>
      </c>
      <c r="Q2" s="7">
        <v>20000</v>
      </c>
    </row>
    <row r="3" spans="1:24" x14ac:dyDescent="0.35">
      <c r="A3" s="4" t="s">
        <v>5</v>
      </c>
      <c r="B3" s="8"/>
      <c r="C3" s="1"/>
      <c r="D3" s="9"/>
      <c r="E3" s="9"/>
      <c r="F3" s="9"/>
      <c r="G3" s="9"/>
      <c r="H3" s="9"/>
      <c r="I3" s="9"/>
      <c r="J3" s="9"/>
      <c r="K3" s="9"/>
      <c r="L3" s="10"/>
      <c r="M3" s="1"/>
      <c r="O3" s="11" t="s">
        <v>6</v>
      </c>
      <c r="P3" s="11">
        <v>0.2</v>
      </c>
      <c r="Q3" s="11">
        <v>0.2</v>
      </c>
    </row>
    <row r="4" spans="1:24" x14ac:dyDescent="0.35">
      <c r="A4" s="4" t="s">
        <v>7</v>
      </c>
      <c r="B4" s="6"/>
      <c r="C4" s="6"/>
      <c r="D4" s="6"/>
      <c r="E4" s="9"/>
      <c r="F4" s="6"/>
      <c r="G4" s="6"/>
      <c r="H4" s="6"/>
      <c r="I4" s="9"/>
      <c r="J4" s="6"/>
      <c r="K4" s="6"/>
      <c r="L4" s="6"/>
      <c r="M4" s="1"/>
      <c r="O4" s="1" t="s">
        <v>8</v>
      </c>
      <c r="P4" s="7">
        <f>P2/P3</f>
        <v>100000</v>
      </c>
      <c r="Q4" s="7">
        <f>Q2/Q3</f>
        <v>100000</v>
      </c>
    </row>
    <row r="5" spans="1:24" ht="31" x14ac:dyDescent="0.35">
      <c r="A5" s="4" t="s">
        <v>9</v>
      </c>
      <c r="B5" s="9" t="s">
        <v>77</v>
      </c>
      <c r="C5" s="9" t="s">
        <v>77</v>
      </c>
      <c r="D5" s="9" t="s">
        <v>77</v>
      </c>
      <c r="E5" s="9"/>
      <c r="F5" s="6" t="s">
        <v>75</v>
      </c>
      <c r="G5" s="6" t="s">
        <v>75</v>
      </c>
      <c r="H5" s="6" t="s">
        <v>75</v>
      </c>
      <c r="I5" s="9"/>
      <c r="J5" s="6" t="s">
        <v>3</v>
      </c>
      <c r="K5" s="6"/>
      <c r="M5" s="1"/>
      <c r="O5" s="1" t="s">
        <v>10</v>
      </c>
      <c r="P5" s="13">
        <v>7</v>
      </c>
      <c r="Q5" s="13">
        <v>7</v>
      </c>
    </row>
    <row r="6" spans="1:24" x14ac:dyDescent="0.35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  <c r="O6" s="1" t="s">
        <v>12</v>
      </c>
      <c r="P6" s="7">
        <v>210000</v>
      </c>
      <c r="Q6" s="7">
        <v>210000</v>
      </c>
    </row>
    <row r="7" spans="1:24" x14ac:dyDescent="0.35">
      <c r="A7" s="4" t="s">
        <v>13</v>
      </c>
      <c r="B7" s="8"/>
      <c r="C7" s="10"/>
      <c r="D7" s="9"/>
      <c r="E7" s="10"/>
      <c r="F7" s="1"/>
      <c r="G7" s="17"/>
      <c r="H7" s="18"/>
      <c r="I7" s="17"/>
      <c r="J7" s="17"/>
      <c r="K7" s="17"/>
      <c r="L7" s="10"/>
      <c r="M7" s="1"/>
      <c r="O7" s="1" t="s">
        <v>14</v>
      </c>
      <c r="P7" s="39">
        <v>3.5</v>
      </c>
      <c r="Q7" s="39">
        <v>3.5</v>
      </c>
      <c r="R7" s="21"/>
    </row>
    <row r="8" spans="1:24" x14ac:dyDescent="0.35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  <c r="O8" s="20" t="s">
        <v>16</v>
      </c>
      <c r="P8" s="39">
        <f>P5-P7</f>
        <v>3.5</v>
      </c>
      <c r="Q8" s="39">
        <f>Q5-Q7</f>
        <v>3.5</v>
      </c>
      <c r="V8" s="21"/>
      <c r="X8" s="21"/>
    </row>
    <row r="9" spans="1:24" x14ac:dyDescent="0.35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  <c r="O9" s="20" t="s">
        <v>18</v>
      </c>
      <c r="P9" s="7">
        <v>92500</v>
      </c>
      <c r="Q9" s="7">
        <v>92500</v>
      </c>
    </row>
    <row r="10" spans="1:24" x14ac:dyDescent="0.35">
      <c r="H10" s="21"/>
      <c r="O10" s="20" t="s">
        <v>19</v>
      </c>
      <c r="P10" s="7">
        <f>P9*0.2</f>
        <v>18500</v>
      </c>
      <c r="Q10" s="7">
        <f>Q9*0.2</f>
        <v>18500</v>
      </c>
    </row>
    <row r="15" spans="1:24" x14ac:dyDescent="0.35">
      <c r="B15" s="22"/>
      <c r="C15" s="23"/>
      <c r="P15" t="s">
        <v>21</v>
      </c>
    </row>
    <row r="16" spans="1:24" ht="16" thickBot="1" x14ac:dyDescent="0.4">
      <c r="A16" s="1" t="s">
        <v>0</v>
      </c>
      <c r="B16" s="2">
        <v>1</v>
      </c>
      <c r="C16" s="2">
        <v>2</v>
      </c>
      <c r="D16" s="2">
        <v>3</v>
      </c>
      <c r="E16" s="2">
        <v>4</v>
      </c>
      <c r="F16" s="2">
        <v>5</v>
      </c>
      <c r="G16" s="2">
        <v>6</v>
      </c>
      <c r="H16" s="2">
        <v>7</v>
      </c>
      <c r="I16" s="2">
        <v>8</v>
      </c>
      <c r="J16" s="2">
        <v>9</v>
      </c>
      <c r="K16" s="2">
        <v>10</v>
      </c>
      <c r="L16" s="2">
        <v>11</v>
      </c>
      <c r="M16" s="2">
        <v>12</v>
      </c>
      <c r="O16" s="3" t="s">
        <v>20</v>
      </c>
      <c r="P16" s="3" t="s">
        <v>78</v>
      </c>
      <c r="Q16" s="3" t="s">
        <v>79</v>
      </c>
    </row>
    <row r="17" spans="1:18" x14ac:dyDescent="0.35">
      <c r="A17" s="4" t="s">
        <v>2</v>
      </c>
      <c r="B17" s="9" t="s">
        <v>30</v>
      </c>
      <c r="C17" s="9" t="s">
        <v>30</v>
      </c>
      <c r="D17" s="9" t="s">
        <v>30</v>
      </c>
      <c r="E17" s="6"/>
      <c r="F17" s="9" t="s">
        <v>76</v>
      </c>
      <c r="G17" s="9" t="s">
        <v>76</v>
      </c>
      <c r="H17" s="9" t="s">
        <v>76</v>
      </c>
      <c r="I17" s="5"/>
      <c r="J17" s="6" t="s">
        <v>70</v>
      </c>
      <c r="K17" s="6"/>
      <c r="L17" s="6"/>
      <c r="M17" s="6"/>
      <c r="O17" s="1" t="s">
        <v>22</v>
      </c>
      <c r="P17" s="25">
        <v>5</v>
      </c>
      <c r="Q17" s="25">
        <v>5</v>
      </c>
    </row>
    <row r="18" spans="1:18" x14ac:dyDescent="0.35">
      <c r="A18" s="4" t="s">
        <v>5</v>
      </c>
      <c r="B18" s="8"/>
      <c r="C18" s="1"/>
      <c r="D18" s="9"/>
      <c r="E18" s="9"/>
      <c r="F18" s="9"/>
      <c r="G18" s="9"/>
      <c r="H18" s="9"/>
      <c r="I18" s="9"/>
      <c r="J18" s="9"/>
      <c r="K18" s="9"/>
      <c r="L18" s="10"/>
      <c r="M18" s="1"/>
      <c r="O18" s="1" t="s">
        <v>23</v>
      </c>
      <c r="P18" s="26">
        <f>P10</f>
        <v>18500</v>
      </c>
      <c r="Q18" s="26">
        <f>Q10</f>
        <v>18500</v>
      </c>
    </row>
    <row r="19" spans="1:18" x14ac:dyDescent="0.35">
      <c r="A19" s="4" t="s">
        <v>7</v>
      </c>
      <c r="B19" s="6"/>
      <c r="C19" s="6"/>
      <c r="D19" s="6"/>
      <c r="E19" s="9"/>
      <c r="F19" s="6"/>
      <c r="G19" s="6"/>
      <c r="H19" s="6"/>
      <c r="I19" s="9"/>
      <c r="J19" s="6"/>
      <c r="K19" s="6"/>
      <c r="L19" s="6"/>
      <c r="M19" s="1"/>
      <c r="O19" s="1" t="s">
        <v>24</v>
      </c>
      <c r="P19" s="25">
        <v>0.05</v>
      </c>
      <c r="Q19" s="25">
        <v>0.05</v>
      </c>
    </row>
    <row r="20" spans="1:18" ht="31" x14ac:dyDescent="0.35">
      <c r="A20" s="4" t="s">
        <v>9</v>
      </c>
      <c r="B20" s="9" t="s">
        <v>77</v>
      </c>
      <c r="C20" s="9" t="s">
        <v>77</v>
      </c>
      <c r="D20" s="9" t="s">
        <v>77</v>
      </c>
      <c r="E20" s="9"/>
      <c r="F20" s="6" t="s">
        <v>75</v>
      </c>
      <c r="G20" s="6" t="s">
        <v>75</v>
      </c>
      <c r="H20" s="6" t="s">
        <v>75</v>
      </c>
      <c r="I20" s="9"/>
      <c r="J20" s="6" t="s">
        <v>3</v>
      </c>
      <c r="K20" s="6"/>
      <c r="M20" s="1"/>
      <c r="O20" s="27" t="s">
        <v>25</v>
      </c>
      <c r="P20" s="26">
        <f>(P18*P17/P19)</f>
        <v>1850000</v>
      </c>
      <c r="Q20" s="26">
        <f>(Q18*Q17/Q19)</f>
        <v>1850000</v>
      </c>
    </row>
    <row r="21" spans="1:18" x14ac:dyDescent="0.35">
      <c r="A21" s="4" t="s">
        <v>11</v>
      </c>
      <c r="B21" s="14"/>
      <c r="C21" s="12"/>
      <c r="D21" s="15"/>
      <c r="E21" s="10"/>
      <c r="F21" s="16"/>
      <c r="G21" s="16"/>
      <c r="H21" s="16"/>
      <c r="I21" s="10"/>
      <c r="J21" s="10"/>
      <c r="K21" s="10"/>
      <c r="L21" s="10"/>
      <c r="M21" s="1"/>
      <c r="O21" s="1" t="s">
        <v>26</v>
      </c>
      <c r="P21" s="26">
        <v>5810000000</v>
      </c>
      <c r="Q21" s="26">
        <v>5810000000</v>
      </c>
    </row>
    <row r="22" spans="1:18" x14ac:dyDescent="0.35">
      <c r="A22" s="4" t="s">
        <v>13</v>
      </c>
      <c r="B22" s="8"/>
      <c r="C22" s="10"/>
      <c r="D22" s="9"/>
      <c r="E22" s="10"/>
      <c r="F22" s="1"/>
      <c r="G22" s="55"/>
      <c r="H22" s="18"/>
      <c r="I22" s="55"/>
      <c r="J22" s="55"/>
      <c r="K22" s="55"/>
      <c r="L22" s="10"/>
      <c r="M22" s="1"/>
      <c r="O22" s="1" t="s">
        <v>27</v>
      </c>
      <c r="P22" s="28">
        <f>P20/P21</f>
        <v>3.1841652323580036E-4</v>
      </c>
      <c r="Q22" s="28" t="s">
        <v>103</v>
      </c>
    </row>
    <row r="23" spans="1:18" x14ac:dyDescent="0.35">
      <c r="A23" s="4" t="s">
        <v>15</v>
      </c>
      <c r="B23" s="14"/>
      <c r="C23" s="12"/>
      <c r="D23" s="15"/>
      <c r="E23" s="15"/>
      <c r="F23" s="15"/>
      <c r="G23" s="15"/>
      <c r="H23" s="16"/>
      <c r="I23" s="1"/>
      <c r="J23" s="16"/>
      <c r="K23" s="16"/>
      <c r="L23" s="16"/>
      <c r="M23" s="16"/>
      <c r="O23" s="1" t="s">
        <v>28</v>
      </c>
      <c r="P23" s="29">
        <v>0.03</v>
      </c>
      <c r="Q23" s="29">
        <v>0.03</v>
      </c>
    </row>
    <row r="24" spans="1:18" x14ac:dyDescent="0.35">
      <c r="A24" s="4" t="s">
        <v>17</v>
      </c>
      <c r="B24" s="14"/>
      <c r="C24" s="12"/>
      <c r="D24" s="15"/>
      <c r="E24" s="1"/>
      <c r="F24" s="1"/>
      <c r="G24" s="1"/>
      <c r="H24" s="7"/>
      <c r="I24" s="1"/>
      <c r="J24" s="1"/>
      <c r="K24" s="1"/>
      <c r="L24" s="1"/>
      <c r="M24" s="1"/>
      <c r="O24" s="20" t="s">
        <v>29</v>
      </c>
      <c r="P24" s="1">
        <f>P23/100</f>
        <v>2.9999999999999997E-4</v>
      </c>
      <c r="Q24" s="1">
        <f>Q23/100</f>
        <v>2.9999999999999997E-4</v>
      </c>
    </row>
    <row r="25" spans="1:18" x14ac:dyDescent="0.35">
      <c r="B25" s="22"/>
      <c r="C25" s="23"/>
      <c r="P25" s="30"/>
    </row>
    <row r="26" spans="1:18" x14ac:dyDescent="0.35">
      <c r="C26" s="23"/>
      <c r="G26" s="17">
        <v>1</v>
      </c>
      <c r="H26" s="9" t="s">
        <v>30</v>
      </c>
    </row>
    <row r="27" spans="1:18" x14ac:dyDescent="0.35">
      <c r="G27" s="17">
        <v>2</v>
      </c>
      <c r="H27" s="9" t="s">
        <v>76</v>
      </c>
    </row>
    <row r="28" spans="1:18" ht="31" x14ac:dyDescent="0.35">
      <c r="G28" s="17">
        <v>3</v>
      </c>
      <c r="H28" s="9" t="s">
        <v>77</v>
      </c>
    </row>
    <row r="29" spans="1:18" x14ac:dyDescent="0.35">
      <c r="G29" s="17">
        <v>4</v>
      </c>
      <c r="H29" s="6" t="s">
        <v>75</v>
      </c>
      <c r="R29" s="21"/>
    </row>
  </sheetData>
  <phoneticPr fontId="4" type="noConversion"/>
  <pageMargins left="0.75" right="0.75" top="1" bottom="1" header="0.5" footer="0.5"/>
  <pageSetup scale="69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1BB3C-F057-4DC1-A4BC-265ABDBB76EC}">
  <dimension ref="A1:M9"/>
  <sheetViews>
    <sheetView workbookViewId="0">
      <selection activeCell="G14" sqref="G14"/>
    </sheetView>
  </sheetViews>
  <sheetFormatPr defaultRowHeight="15.5" x14ac:dyDescent="0.35"/>
  <cols>
    <col min="2" max="2" width="11.25" bestFit="1" customWidth="1"/>
    <col min="7" max="7" width="20.83203125" customWidth="1"/>
  </cols>
  <sheetData>
    <row r="1" spans="1:13" ht="16" thickBot="1" x14ac:dyDescent="0.4">
      <c r="A1" s="1" t="s">
        <v>0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</row>
    <row r="2" spans="1:13" ht="31" x14ac:dyDescent="0.35">
      <c r="A2" s="4" t="s">
        <v>2</v>
      </c>
      <c r="B2" s="9" t="s">
        <v>104</v>
      </c>
      <c r="C2" s="9" t="s">
        <v>105</v>
      </c>
      <c r="D2" s="9" t="s">
        <v>106</v>
      </c>
      <c r="E2" s="6" t="s">
        <v>107</v>
      </c>
      <c r="F2" s="9"/>
      <c r="G2" s="9" t="s">
        <v>108</v>
      </c>
      <c r="H2" s="9"/>
      <c r="I2" s="5"/>
      <c r="J2" s="6"/>
      <c r="K2" s="6"/>
      <c r="L2" s="6"/>
      <c r="M2" s="6"/>
    </row>
    <row r="3" spans="1:13" x14ac:dyDescent="0.35">
      <c r="A3" s="4" t="s">
        <v>5</v>
      </c>
      <c r="B3" s="68">
        <v>4.8611111111111112E-2</v>
      </c>
      <c r="C3" s="65"/>
      <c r="D3" s="66"/>
      <c r="E3" s="66"/>
      <c r="F3" s="9"/>
      <c r="G3" s="9" t="s">
        <v>109</v>
      </c>
      <c r="H3" s="9"/>
      <c r="I3" s="9"/>
      <c r="J3" s="9"/>
      <c r="K3" s="9"/>
      <c r="L3" s="10"/>
      <c r="M3" s="1"/>
    </row>
    <row r="4" spans="1:13" x14ac:dyDescent="0.35">
      <c r="A4" s="4" t="s">
        <v>7</v>
      </c>
      <c r="B4" s="67" t="str">
        <f>"1:100"</f>
        <v>1:100</v>
      </c>
      <c r="C4" s="67"/>
      <c r="D4" s="67"/>
      <c r="E4" s="66"/>
      <c r="F4" s="6"/>
      <c r="G4" s="6" t="s">
        <v>109</v>
      </c>
      <c r="H4" s="6"/>
      <c r="I4" s="9"/>
      <c r="J4" s="6"/>
      <c r="K4" s="6"/>
      <c r="L4" s="6"/>
      <c r="M4" s="1"/>
    </row>
    <row r="5" spans="1:13" x14ac:dyDescent="0.35">
      <c r="A5" s="4" t="s">
        <v>9</v>
      </c>
      <c r="B5" s="66" t="s">
        <v>110</v>
      </c>
      <c r="C5" s="66"/>
      <c r="D5" s="66"/>
      <c r="E5" s="66"/>
      <c r="F5" s="6"/>
      <c r="G5" s="6" t="s">
        <v>109</v>
      </c>
      <c r="H5" s="6"/>
      <c r="I5" s="9"/>
      <c r="J5" s="6"/>
      <c r="K5" s="6"/>
      <c r="M5" s="1"/>
    </row>
    <row r="6" spans="1:13" x14ac:dyDescent="0.35">
      <c r="A6" s="4" t="s">
        <v>11</v>
      </c>
      <c r="B6" s="14"/>
      <c r="C6" s="12"/>
      <c r="D6" s="15"/>
      <c r="E6" s="10"/>
      <c r="F6" s="16"/>
      <c r="G6" s="16"/>
      <c r="H6" s="16"/>
      <c r="I6" s="10"/>
      <c r="J6" s="10"/>
      <c r="K6" s="10"/>
      <c r="L6" s="10"/>
      <c r="M6" s="1"/>
    </row>
    <row r="7" spans="1:13" x14ac:dyDescent="0.35">
      <c r="A7" s="4" t="s">
        <v>13</v>
      </c>
      <c r="B7" s="8"/>
      <c r="C7" s="10"/>
      <c r="D7" s="9"/>
      <c r="E7" s="10"/>
      <c r="F7" s="1"/>
      <c r="G7" s="55"/>
      <c r="H7" s="18"/>
      <c r="I7" s="55"/>
      <c r="J7" s="55"/>
      <c r="K7" s="55"/>
      <c r="L7" s="10"/>
      <c r="M7" s="1"/>
    </row>
    <row r="8" spans="1:13" x14ac:dyDescent="0.35">
      <c r="A8" s="4" t="s">
        <v>15</v>
      </c>
      <c r="B8" s="14"/>
      <c r="C8" s="12"/>
      <c r="D8" s="15"/>
      <c r="E8" s="15"/>
      <c r="F8" s="15"/>
      <c r="G8" s="15"/>
      <c r="H8" s="16"/>
      <c r="I8" s="1"/>
      <c r="J8" s="16"/>
      <c r="K8" s="16"/>
      <c r="L8" s="16"/>
      <c r="M8" s="16"/>
    </row>
    <row r="9" spans="1:13" x14ac:dyDescent="0.35">
      <c r="A9" s="4" t="s">
        <v>17</v>
      </c>
      <c r="B9" s="14"/>
      <c r="C9" s="12"/>
      <c r="D9" s="15"/>
      <c r="E9" s="1"/>
      <c r="F9" s="1"/>
      <c r="G9" s="1"/>
      <c r="H9" s="7"/>
      <c r="I9" s="1"/>
      <c r="J9" s="1"/>
      <c r="K9" s="1"/>
      <c r="L9" s="1"/>
      <c r="M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26"/>
  <sheetViews>
    <sheetView showRuler="0" topLeftCell="A2" workbookViewId="0">
      <selection activeCell="I4" sqref="I4"/>
    </sheetView>
  </sheetViews>
  <sheetFormatPr defaultColWidth="10.6640625" defaultRowHeight="15.5" x14ac:dyDescent="0.35"/>
  <cols>
    <col min="1" max="1" width="20.33203125" bestFit="1" customWidth="1"/>
    <col min="2" max="2" width="5.5" bestFit="1" customWidth="1"/>
    <col min="3" max="8" width="6" bestFit="1" customWidth="1"/>
    <col min="9" max="9" width="8.1640625" bestFit="1" customWidth="1"/>
    <col min="10" max="10" width="7.83203125" bestFit="1" customWidth="1"/>
    <col min="11" max="11" width="8.83203125" bestFit="1" customWidth="1"/>
    <col min="12" max="12" width="2.1640625" customWidth="1"/>
    <col min="13" max="13" width="17" bestFit="1" customWidth="1"/>
    <col min="14" max="15" width="8.83203125" bestFit="1" customWidth="1"/>
    <col min="16" max="16" width="7.6640625" bestFit="1" customWidth="1"/>
    <col min="17" max="17" width="7.1640625" bestFit="1" customWidth="1"/>
    <col min="18" max="18" width="8.5" bestFit="1" customWidth="1"/>
  </cols>
  <sheetData>
    <row r="1" spans="1:20" x14ac:dyDescent="0.35">
      <c r="A1" s="42" t="s">
        <v>0</v>
      </c>
      <c r="B1" s="42"/>
      <c r="C1" s="69" t="s">
        <v>59</v>
      </c>
      <c r="D1" s="69"/>
      <c r="E1" s="69"/>
      <c r="F1" s="69" t="s">
        <v>60</v>
      </c>
      <c r="G1" s="69"/>
      <c r="H1" s="69"/>
    </row>
    <row r="2" spans="1:20" ht="46.5" x14ac:dyDescent="0.35">
      <c r="A2" s="31"/>
      <c r="B2" s="31" t="s">
        <v>50</v>
      </c>
      <c r="C2" s="31">
        <v>1</v>
      </c>
      <c r="D2" s="31">
        <v>2</v>
      </c>
      <c r="E2" s="34">
        <v>3</v>
      </c>
      <c r="F2" s="31">
        <v>1</v>
      </c>
      <c r="G2" s="31">
        <v>2</v>
      </c>
      <c r="H2" s="34">
        <v>3</v>
      </c>
      <c r="I2" s="60" t="s">
        <v>33</v>
      </c>
      <c r="J2" s="35" t="s">
        <v>53</v>
      </c>
      <c r="K2" s="35" t="s">
        <v>37</v>
      </c>
      <c r="L2" s="51"/>
      <c r="M2" s="1"/>
      <c r="N2" s="35" t="s">
        <v>54</v>
      </c>
      <c r="O2" s="31" t="s">
        <v>55</v>
      </c>
      <c r="P2" s="60" t="s">
        <v>56</v>
      </c>
      <c r="Q2" s="24" t="s">
        <v>72</v>
      </c>
      <c r="R2" s="24" t="s">
        <v>63</v>
      </c>
    </row>
    <row r="3" spans="1:20" x14ac:dyDescent="0.35">
      <c r="A3" s="73" t="s">
        <v>30</v>
      </c>
      <c r="B3" s="55" t="s">
        <v>38</v>
      </c>
      <c r="C3" s="25"/>
      <c r="D3" s="25">
        <v>47</v>
      </c>
      <c r="E3" s="46">
        <v>4</v>
      </c>
      <c r="F3" s="25"/>
      <c r="G3" s="25">
        <v>53</v>
      </c>
      <c r="H3" s="46">
        <v>6</v>
      </c>
      <c r="I3" s="25">
        <v>0.1</v>
      </c>
      <c r="J3" s="40">
        <f>AVERAGE(D3,G3)</f>
        <v>50</v>
      </c>
      <c r="K3" s="7">
        <f>(J3/(0.01*I3))*0.2</f>
        <v>10000</v>
      </c>
      <c r="L3" s="52"/>
      <c r="M3" s="9" t="s">
        <v>30</v>
      </c>
      <c r="N3" s="7">
        <f>AVERAGE(K3:K5)</f>
        <v>6666.666666666667</v>
      </c>
      <c r="O3" s="7">
        <f>STDEV(K3:K5)</f>
        <v>2902.2979401386992</v>
      </c>
      <c r="P3" s="39">
        <v>9.691011235955056</v>
      </c>
      <c r="Q3" s="1"/>
      <c r="R3" s="19">
        <f>IF(N3/$N$3&gt;=1,N3/$N$3,-$N$3/N3)</f>
        <v>1</v>
      </c>
    </row>
    <row r="4" spans="1:20" x14ac:dyDescent="0.35">
      <c r="A4" s="73"/>
      <c r="B4" s="55" t="s">
        <v>41</v>
      </c>
      <c r="C4" s="25"/>
      <c r="D4" s="25">
        <v>24</v>
      </c>
      <c r="E4" s="46">
        <v>5</v>
      </c>
      <c r="F4" s="25"/>
      <c r="G4" s="25">
        <v>29</v>
      </c>
      <c r="H4" s="46">
        <v>5</v>
      </c>
      <c r="I4" s="25">
        <v>0.1</v>
      </c>
      <c r="J4" s="40">
        <f t="shared" ref="J4:J8" si="0">AVERAGE(D4,G4)</f>
        <v>26.5</v>
      </c>
      <c r="K4" s="7">
        <f>(J4/(0.01*I4))*0.2</f>
        <v>5300</v>
      </c>
      <c r="L4" s="52"/>
      <c r="M4" s="9" t="s">
        <v>76</v>
      </c>
      <c r="N4" s="7">
        <f>AVERAGE(K6:K8)</f>
        <v>9866.6666666666661</v>
      </c>
      <c r="O4" s="7">
        <f>STDEV(K6:K8)</f>
        <v>5993.6077059925556</v>
      </c>
      <c r="P4" s="39">
        <v>9.691011235955056</v>
      </c>
      <c r="Q4" s="29">
        <f>TTEST(K3:K5,K6:K8,2,2)</f>
        <v>0.45204421945003115</v>
      </c>
      <c r="R4" s="19">
        <f>IF(N4/$N$3&gt;=1,N4/$N$3,-$N$3/N4)</f>
        <v>1.4799999999999998</v>
      </c>
    </row>
    <row r="5" spans="1:20" x14ac:dyDescent="0.35">
      <c r="A5" s="73"/>
      <c r="B5" s="55" t="s">
        <v>64</v>
      </c>
      <c r="C5" s="25"/>
      <c r="D5" s="25">
        <v>29</v>
      </c>
      <c r="E5" s="46">
        <v>1</v>
      </c>
      <c r="F5" s="25"/>
      <c r="G5" s="25">
        <v>18</v>
      </c>
      <c r="H5" s="46">
        <v>2</v>
      </c>
      <c r="I5" s="25">
        <v>0.1</v>
      </c>
      <c r="J5" s="40">
        <f t="shared" si="0"/>
        <v>23.5</v>
      </c>
      <c r="K5" s="7">
        <f>(J5/(0.01*I5))*0.2</f>
        <v>4700</v>
      </c>
      <c r="L5" s="52"/>
      <c r="M5" s="9" t="s">
        <v>77</v>
      </c>
      <c r="N5" s="7">
        <f>AVERAGE(K9:K11)</f>
        <v>4200</v>
      </c>
      <c r="O5" s="7">
        <f>STDEV(K9:K11)</f>
        <v>500</v>
      </c>
      <c r="P5" s="39">
        <v>5.4775280898876408</v>
      </c>
      <c r="Q5" s="29">
        <f>TTEST(K3:K5,K9:K11,2,2)</f>
        <v>0.22047994116930783</v>
      </c>
      <c r="R5" s="19">
        <f>IF(N5/$N$3&gt;=1,N5/$N$3,-$N$3/N5)</f>
        <v>-1.5873015873015874</v>
      </c>
    </row>
    <row r="6" spans="1:20" x14ac:dyDescent="0.35">
      <c r="A6" s="70" t="s">
        <v>81</v>
      </c>
      <c r="B6" s="55" t="s">
        <v>42</v>
      </c>
      <c r="C6" s="25"/>
      <c r="D6" s="25">
        <v>38</v>
      </c>
      <c r="E6" s="46">
        <v>6</v>
      </c>
      <c r="F6" s="25"/>
      <c r="G6" s="25">
        <v>36</v>
      </c>
      <c r="H6" s="46">
        <v>4</v>
      </c>
      <c r="I6" s="25">
        <v>0.1</v>
      </c>
      <c r="J6" s="40">
        <f t="shared" si="0"/>
        <v>37</v>
      </c>
      <c r="K6" s="7">
        <f t="shared" ref="K6:K11" si="1">(J6/(0.01*I6))*0.2</f>
        <v>7400</v>
      </c>
      <c r="L6" s="52"/>
      <c r="M6" s="9" t="s">
        <v>75</v>
      </c>
      <c r="N6" s="7">
        <f>AVERAGE(K12:K14)</f>
        <v>1333.3333333333333</v>
      </c>
      <c r="O6" s="7">
        <f>STDEV(K12:K14)</f>
        <v>945.26468956231167</v>
      </c>
      <c r="P6" s="39">
        <v>5.7584269662921352</v>
      </c>
      <c r="Q6" s="29">
        <f>TTEST(K3:K5,K12:K14,2,2)</f>
        <v>3.8918271231539334E-2</v>
      </c>
      <c r="R6" s="19">
        <f>IF(N6/$N$3&gt;=1,N6/$N$3,-$N$3/N6)</f>
        <v>-5.0000000000000009</v>
      </c>
      <c r="T6" s="21"/>
    </row>
    <row r="7" spans="1:20" ht="15" customHeight="1" x14ac:dyDescent="0.35">
      <c r="A7" s="70"/>
      <c r="B7" s="55" t="s">
        <v>43</v>
      </c>
      <c r="C7" s="25"/>
      <c r="D7" s="25">
        <v>28</v>
      </c>
      <c r="E7" s="46">
        <v>3</v>
      </c>
      <c r="F7" s="25"/>
      <c r="G7" s="25">
        <v>27</v>
      </c>
      <c r="H7" s="46">
        <v>4</v>
      </c>
      <c r="I7" s="25">
        <v>0.1</v>
      </c>
      <c r="J7" s="40">
        <f t="shared" si="0"/>
        <v>27.5</v>
      </c>
      <c r="K7" s="7">
        <f>(J7/(0.01*I7))*0.2</f>
        <v>5500</v>
      </c>
      <c r="L7" s="52"/>
    </row>
    <row r="8" spans="1:20" ht="15" customHeight="1" x14ac:dyDescent="0.35">
      <c r="A8" s="70"/>
      <c r="B8" s="55" t="s">
        <v>67</v>
      </c>
      <c r="C8" s="25"/>
      <c r="D8" s="25">
        <v>87</v>
      </c>
      <c r="E8" s="46">
        <v>7</v>
      </c>
      <c r="F8" s="25"/>
      <c r="G8" s="25">
        <v>80</v>
      </c>
      <c r="H8" s="46">
        <v>8</v>
      </c>
      <c r="I8" s="25">
        <v>0.1</v>
      </c>
      <c r="J8" s="40">
        <f t="shared" si="0"/>
        <v>83.5</v>
      </c>
      <c r="K8" s="7">
        <f t="shared" si="1"/>
        <v>16700</v>
      </c>
      <c r="L8" s="52"/>
    </row>
    <row r="9" spans="1:20" ht="15" customHeight="1" x14ac:dyDescent="0.35">
      <c r="A9" s="70" t="s">
        <v>84</v>
      </c>
      <c r="B9" s="55" t="s">
        <v>44</v>
      </c>
      <c r="C9" s="25"/>
      <c r="D9" s="46">
        <v>18</v>
      </c>
      <c r="E9" s="38">
        <v>1</v>
      </c>
      <c r="F9" s="48"/>
      <c r="G9" s="46">
        <v>19</v>
      </c>
      <c r="H9" s="38">
        <v>2</v>
      </c>
      <c r="I9" s="25">
        <v>0.1</v>
      </c>
      <c r="J9" s="1">
        <f>AVERAGE(D9,G9)</f>
        <v>18.5</v>
      </c>
      <c r="K9" s="7">
        <f t="shared" si="1"/>
        <v>3700</v>
      </c>
      <c r="L9" s="52"/>
    </row>
    <row r="10" spans="1:20" x14ac:dyDescent="0.35">
      <c r="A10" s="70"/>
      <c r="B10" s="55" t="s">
        <v>45</v>
      </c>
      <c r="C10" s="25"/>
      <c r="D10" s="46">
        <v>21</v>
      </c>
      <c r="E10" s="38">
        <v>3</v>
      </c>
      <c r="F10" s="25"/>
      <c r="G10" s="46">
        <v>26</v>
      </c>
      <c r="H10" s="38">
        <v>1</v>
      </c>
      <c r="I10" s="25">
        <v>0.1</v>
      </c>
      <c r="J10" s="1">
        <f>AVERAGE(D10,G10)</f>
        <v>23.5</v>
      </c>
      <c r="K10" s="7">
        <f t="shared" si="1"/>
        <v>4700</v>
      </c>
      <c r="L10" s="52"/>
    </row>
    <row r="11" spans="1:20" ht="15" customHeight="1" x14ac:dyDescent="0.35">
      <c r="A11" s="70"/>
      <c r="B11" s="55" t="s">
        <v>65</v>
      </c>
      <c r="C11" s="25"/>
      <c r="D11" s="46">
        <v>19</v>
      </c>
      <c r="E11" s="38">
        <v>3</v>
      </c>
      <c r="F11" s="25"/>
      <c r="G11" s="46">
        <v>23</v>
      </c>
      <c r="H11" s="38">
        <v>3</v>
      </c>
      <c r="I11" s="25">
        <v>0.1</v>
      </c>
      <c r="J11" s="1">
        <f>AVERAGE(D11,G11)</f>
        <v>21</v>
      </c>
      <c r="K11" s="7">
        <f t="shared" si="1"/>
        <v>4200</v>
      </c>
      <c r="L11" s="52"/>
    </row>
    <row r="12" spans="1:20" ht="16" customHeight="1" x14ac:dyDescent="0.35">
      <c r="A12" s="70" t="s">
        <v>85</v>
      </c>
      <c r="B12" s="55" t="s">
        <v>46</v>
      </c>
      <c r="C12" s="46"/>
      <c r="D12" s="25">
        <v>576</v>
      </c>
      <c r="E12" s="46"/>
      <c r="F12" s="58">
        <v>532</v>
      </c>
      <c r="G12" s="25"/>
      <c r="H12" s="46"/>
      <c r="I12" s="25">
        <v>1</v>
      </c>
      <c r="J12" s="1">
        <f>AVERAGE(C12,F12)</f>
        <v>532</v>
      </c>
      <c r="K12" s="7">
        <f>(J12/(0.05*I12))*0.2</f>
        <v>2128</v>
      </c>
      <c r="L12" s="52"/>
    </row>
    <row r="13" spans="1:20" ht="15" customHeight="1" x14ac:dyDescent="0.35">
      <c r="A13" s="70"/>
      <c r="B13" s="55" t="s">
        <v>47</v>
      </c>
      <c r="C13" s="46"/>
      <c r="D13" s="25">
        <v>404</v>
      </c>
      <c r="E13" s="46"/>
      <c r="F13" s="46">
        <v>396</v>
      </c>
      <c r="G13" s="25"/>
      <c r="H13" s="46"/>
      <c r="I13" s="25">
        <v>1</v>
      </c>
      <c r="J13" s="1">
        <f>AVERAGE(C13,F13)</f>
        <v>396</v>
      </c>
      <c r="K13" s="7">
        <f>(J13/(0.05*I13))*0.2</f>
        <v>1584</v>
      </c>
      <c r="L13" s="52"/>
    </row>
    <row r="14" spans="1:20" x14ac:dyDescent="0.35">
      <c r="A14" s="70"/>
      <c r="B14" s="55" t="s">
        <v>66</v>
      </c>
      <c r="C14" s="46"/>
      <c r="D14" s="46">
        <v>133</v>
      </c>
      <c r="E14" s="46"/>
      <c r="F14" s="46">
        <v>72</v>
      </c>
      <c r="G14" s="46"/>
      <c r="H14" s="46"/>
      <c r="I14" s="25">
        <v>1</v>
      </c>
      <c r="J14" s="1">
        <f>AVERAGE(C14,F14)</f>
        <v>72</v>
      </c>
      <c r="K14" s="7">
        <f>(J14/(0.05*I14))*0.2</f>
        <v>288</v>
      </c>
      <c r="L14" s="52"/>
    </row>
    <row r="15" spans="1:20" x14ac:dyDescent="0.35">
      <c r="A15" s="59" t="s">
        <v>68</v>
      </c>
      <c r="B15" s="55"/>
      <c r="C15" s="25">
        <v>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49">
        <v>1</v>
      </c>
      <c r="J15" s="40">
        <f>AVERAGE(C15)</f>
        <v>0</v>
      </c>
      <c r="K15" s="7">
        <f>(J15/(0.1*I15))*0.2</f>
        <v>0</v>
      </c>
      <c r="L15" s="52"/>
    </row>
    <row r="16" spans="1:20" x14ac:dyDescent="0.35">
      <c r="A16" s="59" t="s">
        <v>69</v>
      </c>
      <c r="B16" s="55"/>
      <c r="C16" s="25">
        <v>0</v>
      </c>
      <c r="D16" s="25" t="s">
        <v>40</v>
      </c>
      <c r="E16" s="25" t="s">
        <v>40</v>
      </c>
      <c r="F16" s="25" t="s">
        <v>40</v>
      </c>
      <c r="G16" s="25" t="s">
        <v>40</v>
      </c>
      <c r="H16" s="25" t="s">
        <v>40</v>
      </c>
      <c r="I16" s="49">
        <v>1</v>
      </c>
      <c r="J16" s="40">
        <f>AVERAGE(C16)</f>
        <v>0</v>
      </c>
      <c r="K16" s="7">
        <f>(J16/(0.1*I16))*0.2</f>
        <v>0</v>
      </c>
      <c r="L16" s="52"/>
    </row>
    <row r="17" spans="1:12" x14ac:dyDescent="0.35">
      <c r="A17" s="1" t="s">
        <v>48</v>
      </c>
      <c r="B17" s="1"/>
      <c r="C17" s="1">
        <v>1</v>
      </c>
      <c r="D17" s="1">
        <f>C17/10</f>
        <v>0.1</v>
      </c>
      <c r="E17" s="1">
        <f>D17/10</f>
        <v>0.01</v>
      </c>
      <c r="F17" s="1">
        <v>1</v>
      </c>
      <c r="G17" s="1">
        <f>F17/10</f>
        <v>0.1</v>
      </c>
      <c r="H17" s="1">
        <f>G17/10</f>
        <v>0.01</v>
      </c>
      <c r="K17" s="21"/>
      <c r="L17" s="21"/>
    </row>
    <row r="18" spans="1:12" x14ac:dyDescent="0.35">
      <c r="A18" s="75" t="s">
        <v>71</v>
      </c>
      <c r="B18" s="75"/>
      <c r="C18" s="75"/>
    </row>
    <row r="19" spans="1:12" x14ac:dyDescent="0.35">
      <c r="A19" s="75" t="s">
        <v>61</v>
      </c>
      <c r="B19" s="75"/>
      <c r="C19" s="75"/>
      <c r="D19" s="57"/>
    </row>
    <row r="25" spans="1:12" x14ac:dyDescent="0.35">
      <c r="H25" s="21"/>
    </row>
    <row r="26" spans="1:12" x14ac:dyDescent="0.35">
      <c r="H26" s="21"/>
    </row>
  </sheetData>
  <mergeCells count="8">
    <mergeCell ref="A19:C19"/>
    <mergeCell ref="A18:C18"/>
    <mergeCell ref="A12:A14"/>
    <mergeCell ref="C1:E1"/>
    <mergeCell ref="F1:H1"/>
    <mergeCell ref="A3:A5"/>
    <mergeCell ref="A6:A8"/>
    <mergeCell ref="A9:A11"/>
  </mergeCells>
  <phoneticPr fontId="4" type="noConversion"/>
  <pageMargins left="0.75" right="0.75" top="1" bottom="1" header="0.5" footer="0.5"/>
  <pageSetup scale="53"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C9E9-999A-2442-A720-1488DBC0945B}">
  <dimension ref="A1:D9"/>
  <sheetViews>
    <sheetView workbookViewId="0">
      <selection activeCell="D15" sqref="D15"/>
    </sheetView>
  </sheetViews>
  <sheetFormatPr defaultColWidth="10.6640625" defaultRowHeight="15.5" x14ac:dyDescent="0.35"/>
  <cols>
    <col min="1" max="1" width="34.6640625" bestFit="1" customWidth="1"/>
    <col min="4" max="4" width="70.83203125" customWidth="1"/>
  </cols>
  <sheetData>
    <row r="1" spans="1:4" x14ac:dyDescent="0.35">
      <c r="B1" s="69" t="s">
        <v>86</v>
      </c>
      <c r="C1" s="69"/>
    </row>
    <row r="2" spans="1:4" x14ac:dyDescent="0.35">
      <c r="A2" s="31" t="s">
        <v>102</v>
      </c>
      <c r="B2" s="61" t="s">
        <v>88</v>
      </c>
      <c r="C2" s="61" t="s">
        <v>89</v>
      </c>
      <c r="D2" s="31" t="s">
        <v>92</v>
      </c>
    </row>
    <row r="3" spans="1:4" x14ac:dyDescent="0.35">
      <c r="A3" s="1" t="s">
        <v>87</v>
      </c>
      <c r="B3" s="25">
        <v>8</v>
      </c>
      <c r="C3" s="62"/>
      <c r="D3" s="1" t="s">
        <v>93</v>
      </c>
    </row>
    <row r="4" spans="1:4" x14ac:dyDescent="0.35">
      <c r="A4" s="1" t="s">
        <v>90</v>
      </c>
      <c r="B4" s="25">
        <v>0</v>
      </c>
      <c r="C4" s="62">
        <v>8</v>
      </c>
      <c r="D4" s="1" t="s">
        <v>94</v>
      </c>
    </row>
    <row r="5" spans="1:4" x14ac:dyDescent="0.35">
      <c r="A5" s="1" t="s">
        <v>91</v>
      </c>
      <c r="B5" s="25">
        <v>26</v>
      </c>
      <c r="C5" s="62"/>
      <c r="D5" s="1" t="s">
        <v>95</v>
      </c>
    </row>
    <row r="6" spans="1:4" ht="31" x14ac:dyDescent="0.35">
      <c r="A6" s="1" t="s">
        <v>96</v>
      </c>
      <c r="B6" s="25">
        <v>8</v>
      </c>
      <c r="C6" s="62">
        <v>18</v>
      </c>
      <c r="D6" s="27" t="s">
        <v>97</v>
      </c>
    </row>
    <row r="7" spans="1:4" x14ac:dyDescent="0.35">
      <c r="A7" s="31" t="s">
        <v>98</v>
      </c>
      <c r="B7" s="46">
        <f>SUM(B3:B6)</f>
        <v>42</v>
      </c>
      <c r="C7" s="64">
        <f>SUM(C3:C6)</f>
        <v>26</v>
      </c>
      <c r="D7" s="1"/>
    </row>
    <row r="8" spans="1:4" x14ac:dyDescent="0.35">
      <c r="A8" s="1" t="s">
        <v>99</v>
      </c>
      <c r="B8" s="25">
        <f>B7/25</f>
        <v>1.68</v>
      </c>
      <c r="C8" s="62">
        <f>C7/20</f>
        <v>1.3</v>
      </c>
      <c r="D8" s="1" t="s">
        <v>101</v>
      </c>
    </row>
    <row r="9" spans="1:4" x14ac:dyDescent="0.35">
      <c r="A9" s="31" t="s">
        <v>100</v>
      </c>
      <c r="B9" s="46">
        <f>SUM(B8:C8)</f>
        <v>2.98</v>
      </c>
      <c r="C9" s="63"/>
    </row>
  </sheetData>
  <mergeCells count="1">
    <mergeCell ref="B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showRuler="0" workbookViewId="0">
      <selection activeCell="N2" sqref="N2"/>
    </sheetView>
  </sheetViews>
  <sheetFormatPr defaultColWidth="10.6640625" defaultRowHeight="15.5" x14ac:dyDescent="0.35"/>
  <cols>
    <col min="1" max="1" width="19.33203125" customWidth="1"/>
    <col min="2" max="2" width="9" bestFit="1" customWidth="1"/>
    <col min="3" max="3" width="8.6640625" customWidth="1"/>
    <col min="4" max="5" width="6" bestFit="1" customWidth="1"/>
    <col min="6" max="6" width="6.1640625" bestFit="1" customWidth="1"/>
    <col min="7" max="7" width="8.1640625" bestFit="1" customWidth="1"/>
    <col min="8" max="9" width="9.33203125" bestFit="1" customWidth="1"/>
    <col min="10" max="10" width="10.1640625" customWidth="1"/>
    <col min="11" max="12" width="8.83203125" bestFit="1" customWidth="1"/>
    <col min="13" max="13" width="27.5" customWidth="1"/>
    <col min="14" max="14" width="10.1640625" bestFit="1" customWidth="1"/>
  </cols>
  <sheetData>
    <row r="1" spans="1:14" x14ac:dyDescent="0.35">
      <c r="A1" s="31" t="s">
        <v>31</v>
      </c>
      <c r="B1" s="32"/>
      <c r="C1" s="72"/>
      <c r="D1" s="72"/>
      <c r="E1" s="72"/>
      <c r="F1" s="72"/>
      <c r="G1" s="22"/>
      <c r="H1" s="22"/>
      <c r="I1" s="22"/>
      <c r="J1" s="22"/>
      <c r="K1" s="22"/>
      <c r="L1" s="22"/>
      <c r="M1" s="22"/>
      <c r="N1" s="22"/>
    </row>
    <row r="2" spans="1:14" ht="46.5" x14ac:dyDescent="0.35">
      <c r="A2" s="31"/>
      <c r="B2" s="33" t="s">
        <v>32</v>
      </c>
      <c r="C2" s="31">
        <v>1</v>
      </c>
      <c r="D2" s="31">
        <v>2</v>
      </c>
      <c r="E2" s="34">
        <v>3</v>
      </c>
      <c r="F2" s="31">
        <v>4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49</v>
      </c>
      <c r="L2" s="35" t="s">
        <v>36</v>
      </c>
      <c r="M2" s="36" t="s">
        <v>80</v>
      </c>
    </row>
    <row r="3" spans="1:14" x14ac:dyDescent="0.35">
      <c r="A3" s="71" t="s">
        <v>30</v>
      </c>
      <c r="B3" s="37" t="s">
        <v>38</v>
      </c>
      <c r="C3" s="25" t="s">
        <v>39</v>
      </c>
      <c r="D3" s="25" t="s">
        <v>39</v>
      </c>
      <c r="E3" s="25" t="s">
        <v>39</v>
      </c>
      <c r="F3" s="38">
        <v>45</v>
      </c>
      <c r="G3" s="25">
        <v>1E-3</v>
      </c>
      <c r="H3" s="26">
        <f>F3/(G3*0.01)</f>
        <v>4500000</v>
      </c>
      <c r="I3" s="7">
        <f>AVERAGE(H3:H4)</f>
        <v>3800000</v>
      </c>
      <c r="J3" s="7">
        <f>STDEV(H3:H4)</f>
        <v>989949.49366116652</v>
      </c>
      <c r="K3" s="7">
        <f>I3*0.05</f>
        <v>190000</v>
      </c>
      <c r="L3" s="7">
        <f>J3*0.05</f>
        <v>49497.474683058332</v>
      </c>
      <c r="M3" s="39">
        <f>K3/18500</f>
        <v>10.27027027027027</v>
      </c>
    </row>
    <row r="4" spans="1:14" x14ac:dyDescent="0.35">
      <c r="A4" s="71"/>
      <c r="B4" s="37" t="s">
        <v>41</v>
      </c>
      <c r="C4" s="25" t="s">
        <v>39</v>
      </c>
      <c r="D4" s="25" t="s">
        <v>39</v>
      </c>
      <c r="E4" s="25" t="s">
        <v>39</v>
      </c>
      <c r="F4" s="38">
        <v>31</v>
      </c>
      <c r="G4" s="25">
        <v>1E-3</v>
      </c>
      <c r="H4" s="26">
        <f t="shared" ref="H4:H10" si="0">F4/(G4*0.01)</f>
        <v>3099999.9999999995</v>
      </c>
      <c r="I4" s="40"/>
      <c r="J4" s="40"/>
      <c r="K4" s="7"/>
      <c r="L4" s="7"/>
      <c r="M4" s="39"/>
    </row>
    <row r="5" spans="1:14" x14ac:dyDescent="0.35">
      <c r="A5" s="70" t="s">
        <v>81</v>
      </c>
      <c r="B5" s="41" t="s">
        <v>42</v>
      </c>
      <c r="C5" s="25" t="s">
        <v>39</v>
      </c>
      <c r="D5" s="25" t="s">
        <v>39</v>
      </c>
      <c r="E5" s="25" t="s">
        <v>39</v>
      </c>
      <c r="F5" s="38">
        <v>37</v>
      </c>
      <c r="G5" s="25">
        <v>1E-3</v>
      </c>
      <c r="H5" s="26">
        <f t="shared" si="0"/>
        <v>3699999.9999999995</v>
      </c>
      <c r="I5" s="7">
        <f>AVERAGE(H5:H6)</f>
        <v>4000000</v>
      </c>
      <c r="J5" s="7">
        <f>STDEV(H5:H6)</f>
        <v>424264.06871192885</v>
      </c>
      <c r="K5" s="7">
        <f>I5*0.05</f>
        <v>200000</v>
      </c>
      <c r="L5" s="7">
        <f>J5*0.05</f>
        <v>21213.203435596442</v>
      </c>
      <c r="M5" s="39">
        <f>K5/18500</f>
        <v>10.810810810810811</v>
      </c>
    </row>
    <row r="6" spans="1:14" x14ac:dyDescent="0.35">
      <c r="A6" s="70"/>
      <c r="B6" s="41" t="s">
        <v>43</v>
      </c>
      <c r="C6" s="25" t="s">
        <v>39</v>
      </c>
      <c r="D6" s="25" t="s">
        <v>39</v>
      </c>
      <c r="E6" s="25" t="s">
        <v>39</v>
      </c>
      <c r="F6" s="38">
        <v>43</v>
      </c>
      <c r="G6" s="25">
        <v>1E-3</v>
      </c>
      <c r="H6" s="26">
        <f t="shared" si="0"/>
        <v>4300000</v>
      </c>
      <c r="I6" s="40"/>
      <c r="J6" s="40"/>
      <c r="K6" s="7"/>
      <c r="L6" s="7"/>
      <c r="M6" s="39"/>
    </row>
    <row r="7" spans="1:14" x14ac:dyDescent="0.35">
      <c r="A7" s="70" t="s">
        <v>82</v>
      </c>
      <c r="B7" s="41" t="s">
        <v>44</v>
      </c>
      <c r="C7" s="25" t="s">
        <v>39</v>
      </c>
      <c r="D7" s="25" t="s">
        <v>39</v>
      </c>
      <c r="E7" s="25" t="s">
        <v>39</v>
      </c>
      <c r="F7" s="38">
        <v>20</v>
      </c>
      <c r="G7" s="25">
        <v>1E-3</v>
      </c>
      <c r="H7" s="26">
        <f t="shared" si="0"/>
        <v>1999999.9999999998</v>
      </c>
      <c r="I7" s="7">
        <f>AVERAGE(H7:H8)</f>
        <v>2300000</v>
      </c>
      <c r="J7" s="7">
        <f>STDEV(H7:H8)</f>
        <v>424264.0687119285</v>
      </c>
      <c r="K7" s="7">
        <f>I7*0.05</f>
        <v>115000</v>
      </c>
      <c r="L7" s="7">
        <f>J7*0.05</f>
        <v>21213.203435596428</v>
      </c>
      <c r="M7" s="39">
        <f>K7/18500</f>
        <v>6.2162162162162158</v>
      </c>
    </row>
    <row r="8" spans="1:14" x14ac:dyDescent="0.35">
      <c r="A8" s="70"/>
      <c r="B8" s="41" t="s">
        <v>45</v>
      </c>
      <c r="C8" s="25" t="s">
        <v>39</v>
      </c>
      <c r="D8" s="25" t="s">
        <v>39</v>
      </c>
      <c r="E8" s="25" t="s">
        <v>39</v>
      </c>
      <c r="F8" s="38">
        <v>26</v>
      </c>
      <c r="G8" s="25">
        <v>1E-3</v>
      </c>
      <c r="H8" s="26">
        <f t="shared" si="0"/>
        <v>2600000</v>
      </c>
      <c r="I8" s="40"/>
      <c r="J8" s="40"/>
      <c r="K8" s="7"/>
      <c r="L8" s="7"/>
      <c r="M8" s="39"/>
    </row>
    <row r="9" spans="1:14" ht="16" customHeight="1" x14ac:dyDescent="0.35">
      <c r="A9" s="70" t="s">
        <v>83</v>
      </c>
      <c r="B9" s="41" t="s">
        <v>46</v>
      </c>
      <c r="C9" s="25" t="s">
        <v>39</v>
      </c>
      <c r="D9" s="25" t="s">
        <v>39</v>
      </c>
      <c r="E9" s="25" t="s">
        <v>39</v>
      </c>
      <c r="F9" s="38">
        <v>33</v>
      </c>
      <c r="G9" s="25">
        <v>1E-3</v>
      </c>
      <c r="H9" s="26">
        <f t="shared" si="0"/>
        <v>3299999.9999999995</v>
      </c>
      <c r="I9" s="7">
        <f>AVERAGE(H9:H10)</f>
        <v>2750000</v>
      </c>
      <c r="J9" s="7">
        <f>STDEV(H9:H10)</f>
        <v>777817.45930519979</v>
      </c>
      <c r="K9" s="7">
        <f>I9*0.05</f>
        <v>137500</v>
      </c>
      <c r="L9" s="7">
        <f>J9*0.05</f>
        <v>38890.872965259994</v>
      </c>
      <c r="M9" s="39">
        <f>K9/18500</f>
        <v>7.4324324324324325</v>
      </c>
    </row>
    <row r="10" spans="1:14" x14ac:dyDescent="0.35">
      <c r="A10" s="70"/>
      <c r="B10" s="41" t="s">
        <v>47</v>
      </c>
      <c r="C10" s="25" t="s">
        <v>39</v>
      </c>
      <c r="D10" s="25" t="s">
        <v>39</v>
      </c>
      <c r="E10" s="25" t="s">
        <v>39</v>
      </c>
      <c r="F10" s="38">
        <v>22</v>
      </c>
      <c r="G10" s="25">
        <v>1E-3</v>
      </c>
      <c r="H10" s="26">
        <f t="shared" si="0"/>
        <v>2200000</v>
      </c>
      <c r="I10" s="40"/>
      <c r="J10" s="40"/>
      <c r="K10" s="7"/>
      <c r="L10" s="7"/>
      <c r="M10" s="39"/>
    </row>
    <row r="11" spans="1:14" x14ac:dyDescent="0.35">
      <c r="A11" s="1" t="s">
        <v>48</v>
      </c>
      <c r="B11" s="1"/>
      <c r="C11" s="1">
        <v>1</v>
      </c>
      <c r="D11" s="1">
        <f>C11/10</f>
        <v>0.1</v>
      </c>
      <c r="E11" s="1">
        <f>D11/10</f>
        <v>0.01</v>
      </c>
      <c r="F11" s="1">
        <f>E11/10</f>
        <v>1E-3</v>
      </c>
    </row>
    <row r="13" spans="1:14" x14ac:dyDescent="0.35">
      <c r="A13" s="1"/>
      <c r="B13" s="1" t="s">
        <v>49</v>
      </c>
      <c r="C13" s="1" t="s">
        <v>36</v>
      </c>
    </row>
    <row r="14" spans="1:14" x14ac:dyDescent="0.35">
      <c r="A14" s="9" t="s">
        <v>30</v>
      </c>
      <c r="B14" s="7">
        <f>K3</f>
        <v>190000</v>
      </c>
      <c r="C14" s="7">
        <f>L3</f>
        <v>49497.474683058332</v>
      </c>
    </row>
    <row r="15" spans="1:14" x14ac:dyDescent="0.35">
      <c r="A15" s="9" t="s">
        <v>76</v>
      </c>
      <c r="B15" s="7">
        <f>K5</f>
        <v>200000</v>
      </c>
      <c r="C15" s="7">
        <f>L5</f>
        <v>21213.203435596442</v>
      </c>
    </row>
    <row r="16" spans="1:14" x14ac:dyDescent="0.35">
      <c r="A16" s="9" t="s">
        <v>77</v>
      </c>
      <c r="B16" s="7">
        <f>K7</f>
        <v>115000</v>
      </c>
      <c r="C16" s="7">
        <f>L7</f>
        <v>21213.203435596428</v>
      </c>
    </row>
    <row r="17" spans="1:3" x14ac:dyDescent="0.35">
      <c r="A17" s="9" t="s">
        <v>75</v>
      </c>
      <c r="B17" s="7">
        <f>K9</f>
        <v>137500</v>
      </c>
      <c r="C17" s="7">
        <f>L9</f>
        <v>38890.872965259994</v>
      </c>
    </row>
  </sheetData>
  <mergeCells count="5">
    <mergeCell ref="A5:A6"/>
    <mergeCell ref="A3:A4"/>
    <mergeCell ref="A7:A8"/>
    <mergeCell ref="A9:A10"/>
    <mergeCell ref="C1:F1"/>
  </mergeCells>
  <phoneticPr fontId="4" type="noConversion"/>
  <pageMargins left="0.75" right="0.75" top="1" bottom="1" header="0.5" footer="0.5"/>
  <pageSetup scale="73" orientation="portrait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8"/>
  <sheetViews>
    <sheetView tabSelected="1" showRuler="0" topLeftCell="A5" workbookViewId="0">
      <selection activeCell="K4" sqref="K4"/>
    </sheetView>
  </sheetViews>
  <sheetFormatPr defaultColWidth="10.6640625" defaultRowHeight="15.5" x14ac:dyDescent="0.35"/>
  <cols>
    <col min="1" max="1" width="17.33203125" customWidth="1"/>
    <col min="2" max="2" width="5.5" bestFit="1" customWidth="1"/>
    <col min="3" max="4" width="7" bestFit="1" customWidth="1"/>
    <col min="5" max="5" width="8.1640625" bestFit="1" customWidth="1"/>
    <col min="6" max="6" width="7.83203125" bestFit="1" customWidth="1"/>
    <col min="7" max="7" width="8.83203125" bestFit="1" customWidth="1"/>
    <col min="8" max="8" width="8.1640625" customWidth="1"/>
    <col min="10" max="10" width="17" customWidth="1"/>
    <col min="11" max="12" width="8.83203125" bestFit="1" customWidth="1"/>
    <col min="13" max="13" width="7.6640625" bestFit="1" customWidth="1"/>
    <col min="14" max="14" width="6" bestFit="1" customWidth="1"/>
    <col min="15" max="15" width="7.33203125" bestFit="1" customWidth="1"/>
  </cols>
  <sheetData>
    <row r="1" spans="1:25" x14ac:dyDescent="0.35">
      <c r="A1" s="42"/>
      <c r="B1" s="42"/>
      <c r="C1" s="22"/>
      <c r="E1" s="43"/>
      <c r="F1" s="43"/>
      <c r="G1" s="32"/>
      <c r="H1" s="54"/>
      <c r="I1" s="32"/>
      <c r="J1" s="44"/>
      <c r="K1" s="44"/>
      <c r="L1" s="45"/>
      <c r="M1" s="45"/>
    </row>
    <row r="2" spans="1:25" ht="46.5" x14ac:dyDescent="0.35">
      <c r="A2" s="31"/>
      <c r="B2" s="56" t="s">
        <v>50</v>
      </c>
      <c r="C2" s="56" t="s">
        <v>51</v>
      </c>
      <c r="D2" s="56" t="s">
        <v>52</v>
      </c>
      <c r="E2" s="24" t="s">
        <v>33</v>
      </c>
      <c r="F2" s="24" t="s">
        <v>53</v>
      </c>
      <c r="G2" s="24" t="s">
        <v>37</v>
      </c>
      <c r="H2" s="24" t="s">
        <v>62</v>
      </c>
      <c r="J2" s="1"/>
      <c r="K2" s="35" t="s">
        <v>54</v>
      </c>
      <c r="L2" s="31" t="s">
        <v>55</v>
      </c>
      <c r="M2" s="60" t="s">
        <v>56</v>
      </c>
      <c r="N2" s="50" t="s">
        <v>62</v>
      </c>
      <c r="O2" s="24" t="s">
        <v>63</v>
      </c>
    </row>
    <row r="3" spans="1:25" x14ac:dyDescent="0.35">
      <c r="A3" s="73" t="s">
        <v>30</v>
      </c>
      <c r="B3" s="53" t="s">
        <v>38</v>
      </c>
      <c r="C3" s="46">
        <v>27</v>
      </c>
      <c r="D3" s="46">
        <v>7</v>
      </c>
      <c r="E3" s="25">
        <v>1</v>
      </c>
      <c r="F3" s="40">
        <f t="shared" ref="F3:F14" si="0">AVERAGE(C3,D3)</f>
        <v>17</v>
      </c>
      <c r="G3" s="7">
        <f t="shared" ref="G3:G14" si="1">(F3/(0.05*E3))*0.2</f>
        <v>68</v>
      </c>
      <c r="H3" s="74">
        <f>TTEST(G3:G5,G3:G5,2,2)</f>
        <v>1</v>
      </c>
      <c r="I3" s="21"/>
      <c r="J3" s="9" t="s">
        <v>30</v>
      </c>
      <c r="K3" s="7">
        <f>AVERAGE(G3:G5)</f>
        <v>44.666666666666664</v>
      </c>
      <c r="L3" s="7">
        <f>STDEV(G3:G5)</f>
        <v>24.027761721253469</v>
      </c>
      <c r="M3" s="39">
        <v>9.691011235955056</v>
      </c>
      <c r="N3" s="1"/>
      <c r="O3" s="19">
        <f>IF(K3/$K$3&gt;=1,K3/$K$3,-$K$3/K3)</f>
        <v>1</v>
      </c>
      <c r="R3" s="21"/>
      <c r="T3" s="21"/>
      <c r="U3" s="21"/>
      <c r="V3" s="21"/>
      <c r="W3" s="21"/>
      <c r="X3" s="21"/>
      <c r="Y3" s="21"/>
    </row>
    <row r="4" spans="1:25" x14ac:dyDescent="0.35">
      <c r="A4" s="73"/>
      <c r="B4" s="53" t="s">
        <v>41</v>
      </c>
      <c r="C4" s="46">
        <v>4</v>
      </c>
      <c r="D4" s="46">
        <v>19</v>
      </c>
      <c r="E4" s="25">
        <v>1</v>
      </c>
      <c r="F4" s="40">
        <f t="shared" si="0"/>
        <v>11.5</v>
      </c>
      <c r="G4" s="7">
        <f t="shared" si="1"/>
        <v>46</v>
      </c>
      <c r="H4" s="74"/>
      <c r="J4" s="9" t="s">
        <v>76</v>
      </c>
      <c r="K4" s="7">
        <f>AVERAGE(G6:G8)</f>
        <v>131.33333333333334</v>
      </c>
      <c r="L4" s="7">
        <f>STDEV(G6:G8)</f>
        <v>201.51757574299401</v>
      </c>
      <c r="M4" s="39">
        <v>9.691011235955056</v>
      </c>
      <c r="N4" s="29">
        <f>TTEST(G3:G5,G6:G8,2,2)</f>
        <v>0.50056219550577363</v>
      </c>
      <c r="O4" s="19">
        <f>IF(K4/$K$3&gt;=1,K4/$K$3,-$K$3/K4)</f>
        <v>2.9402985074626868</v>
      </c>
    </row>
    <row r="5" spans="1:25" x14ac:dyDescent="0.35">
      <c r="A5" s="73"/>
      <c r="B5" s="53" t="s">
        <v>64</v>
      </c>
      <c r="C5" s="46">
        <v>5</v>
      </c>
      <c r="D5" s="46">
        <v>5</v>
      </c>
      <c r="E5" s="25">
        <v>1</v>
      </c>
      <c r="F5" s="40">
        <f t="shared" si="0"/>
        <v>5</v>
      </c>
      <c r="G5" s="7">
        <f t="shared" si="1"/>
        <v>20</v>
      </c>
      <c r="H5" s="74"/>
      <c r="J5" s="9" t="s">
        <v>77</v>
      </c>
      <c r="K5" s="7">
        <f>AVERAGE(G10:G11)</f>
        <v>32</v>
      </c>
      <c r="L5" s="7">
        <f>STDEV(G10:G11)</f>
        <v>16.970562748477139</v>
      </c>
      <c r="M5" s="39">
        <v>5.4775280898876408</v>
      </c>
      <c r="N5" s="29">
        <f>TTEST(G3:G5,G10:G11,2,2)</f>
        <v>0.57183617180435375</v>
      </c>
      <c r="O5" s="19">
        <f>IF(K5/$K$3&gt;=1,K5/$K$3,-$K$3/K5)</f>
        <v>-1.3958333333333333</v>
      </c>
    </row>
    <row r="6" spans="1:25" ht="15" customHeight="1" x14ac:dyDescent="0.35">
      <c r="A6" s="70" t="s">
        <v>81</v>
      </c>
      <c r="B6" s="53" t="s">
        <v>42</v>
      </c>
      <c r="C6" s="46">
        <v>74</v>
      </c>
      <c r="D6" s="46">
        <v>108</v>
      </c>
      <c r="E6" s="25">
        <v>1</v>
      </c>
      <c r="F6" s="1">
        <f t="shared" si="0"/>
        <v>91</v>
      </c>
      <c r="G6" s="7">
        <f t="shared" si="1"/>
        <v>364</v>
      </c>
      <c r="H6" s="74">
        <f>TTEST(G6:G8,G3:G5,2,2)</f>
        <v>0.50056219550577363</v>
      </c>
      <c r="J6" s="9" t="s">
        <v>75</v>
      </c>
      <c r="K6" s="7">
        <f>AVERAGE(G12:G14)</f>
        <v>22.666666666666668</v>
      </c>
      <c r="L6" s="7">
        <f>STDEV(G12:G14)</f>
        <v>13.316656236958787</v>
      </c>
      <c r="M6" s="39">
        <v>5.7584269662921352</v>
      </c>
      <c r="N6" s="29">
        <f>TTEST(G3:G5,G12:G14,2,2)</f>
        <v>0.23769975892415501</v>
      </c>
      <c r="O6" s="19">
        <f>IF(K6/$K$3&gt;=1,K6/$K$3,-$K$3/K6)</f>
        <v>-1.9705882352941175</v>
      </c>
    </row>
    <row r="7" spans="1:25" ht="15" customHeight="1" x14ac:dyDescent="0.35">
      <c r="A7" s="70"/>
      <c r="B7" s="53" t="s">
        <v>43</v>
      </c>
      <c r="C7" s="46">
        <v>7</v>
      </c>
      <c r="D7" s="46">
        <v>2</v>
      </c>
      <c r="E7" s="25">
        <v>1</v>
      </c>
      <c r="F7" s="1">
        <f t="shared" si="0"/>
        <v>4.5</v>
      </c>
      <c r="G7" s="7">
        <f t="shared" si="1"/>
        <v>18</v>
      </c>
      <c r="H7" s="74"/>
    </row>
    <row r="8" spans="1:25" x14ac:dyDescent="0.35">
      <c r="A8" s="70"/>
      <c r="B8" s="53" t="s">
        <v>67</v>
      </c>
      <c r="C8" s="46">
        <v>3</v>
      </c>
      <c r="D8" s="46">
        <v>3</v>
      </c>
      <c r="E8" s="25">
        <v>1</v>
      </c>
      <c r="F8" s="1">
        <f t="shared" si="0"/>
        <v>3</v>
      </c>
      <c r="G8" s="7">
        <f t="shared" si="1"/>
        <v>12</v>
      </c>
      <c r="H8" s="74"/>
    </row>
    <row r="9" spans="1:25" ht="15" customHeight="1" x14ac:dyDescent="0.35">
      <c r="A9" s="70" t="s">
        <v>84</v>
      </c>
      <c r="B9" s="53" t="s">
        <v>44</v>
      </c>
      <c r="C9" s="46">
        <v>7</v>
      </c>
      <c r="D9" s="46">
        <v>3</v>
      </c>
      <c r="E9" s="25">
        <v>1</v>
      </c>
      <c r="F9" s="1">
        <f t="shared" si="0"/>
        <v>5</v>
      </c>
      <c r="G9" s="7">
        <f t="shared" si="1"/>
        <v>20</v>
      </c>
      <c r="H9" s="74">
        <f>TTEST(G9:G11,G3:G5,2,2)</f>
        <v>0.35675480326709585</v>
      </c>
      <c r="J9" s="21"/>
    </row>
    <row r="10" spans="1:25" x14ac:dyDescent="0.35">
      <c r="A10" s="70"/>
      <c r="B10" s="53" t="s">
        <v>45</v>
      </c>
      <c r="C10" s="46">
        <v>18</v>
      </c>
      <c r="D10" s="46">
        <v>4</v>
      </c>
      <c r="E10" s="25">
        <v>1</v>
      </c>
      <c r="F10" s="1">
        <f t="shared" si="0"/>
        <v>11</v>
      </c>
      <c r="G10" s="7">
        <f t="shared" si="1"/>
        <v>44</v>
      </c>
      <c r="H10" s="74"/>
    </row>
    <row r="11" spans="1:25" ht="15" customHeight="1" x14ac:dyDescent="0.35">
      <c r="A11" s="70"/>
      <c r="B11" s="53" t="s">
        <v>65</v>
      </c>
      <c r="C11" s="46">
        <v>9</v>
      </c>
      <c r="D11" s="46">
        <v>1</v>
      </c>
      <c r="E11" s="25">
        <v>1</v>
      </c>
      <c r="F11" s="1">
        <f t="shared" si="0"/>
        <v>5</v>
      </c>
      <c r="G11" s="7">
        <f t="shared" si="1"/>
        <v>20</v>
      </c>
      <c r="H11" s="74"/>
    </row>
    <row r="12" spans="1:25" x14ac:dyDescent="0.35">
      <c r="A12" s="70" t="s">
        <v>83</v>
      </c>
      <c r="B12" s="53" t="s">
        <v>46</v>
      </c>
      <c r="C12" s="46">
        <v>10</v>
      </c>
      <c r="D12" s="46">
        <v>3</v>
      </c>
      <c r="E12" s="25">
        <v>1</v>
      </c>
      <c r="F12" s="1">
        <f t="shared" si="0"/>
        <v>6.5</v>
      </c>
      <c r="G12" s="7">
        <f t="shared" si="1"/>
        <v>26</v>
      </c>
      <c r="H12" s="74">
        <f>TTEST(G12:G14,G3:G5,2,2)</f>
        <v>0.23769975892415501</v>
      </c>
    </row>
    <row r="13" spans="1:25" ht="15" customHeight="1" x14ac:dyDescent="0.35">
      <c r="A13" s="70"/>
      <c r="B13" s="53" t="s">
        <v>47</v>
      </c>
      <c r="C13" s="46">
        <v>2</v>
      </c>
      <c r="D13" s="46">
        <v>2</v>
      </c>
      <c r="E13" s="25">
        <v>1</v>
      </c>
      <c r="F13" s="1">
        <f t="shared" si="0"/>
        <v>2</v>
      </c>
      <c r="G13" s="7">
        <f>(F13/(0.05*E13))*0.2</f>
        <v>8</v>
      </c>
      <c r="H13" s="74"/>
    </row>
    <row r="14" spans="1:25" x14ac:dyDescent="0.35">
      <c r="A14" s="70"/>
      <c r="B14" s="53" t="s">
        <v>66</v>
      </c>
      <c r="C14" s="46">
        <v>6</v>
      </c>
      <c r="D14" s="46">
        <v>11</v>
      </c>
      <c r="E14" s="25">
        <v>1</v>
      </c>
      <c r="F14" s="1">
        <f t="shared" si="0"/>
        <v>8.5</v>
      </c>
      <c r="G14" s="7">
        <f t="shared" si="1"/>
        <v>34</v>
      </c>
      <c r="H14" s="74"/>
    </row>
    <row r="15" spans="1:25" x14ac:dyDescent="0.35">
      <c r="A15" s="47" t="s">
        <v>73</v>
      </c>
      <c r="B15" s="53"/>
      <c r="C15" s="25">
        <v>0</v>
      </c>
      <c r="D15" s="25">
        <v>0</v>
      </c>
      <c r="E15" s="25"/>
      <c r="F15" s="1" t="s">
        <v>40</v>
      </c>
      <c r="G15" s="7" t="s">
        <v>40</v>
      </c>
    </row>
    <row r="16" spans="1:25" x14ac:dyDescent="0.35">
      <c r="A16" s="47" t="s">
        <v>74</v>
      </c>
      <c r="B16" s="53"/>
      <c r="C16" s="25">
        <v>0</v>
      </c>
      <c r="D16" s="25">
        <v>0</v>
      </c>
      <c r="E16" s="25"/>
      <c r="F16" s="1" t="s">
        <v>40</v>
      </c>
      <c r="G16" s="7" t="s">
        <v>40</v>
      </c>
      <c r="H16" s="52"/>
    </row>
    <row r="17" spans="1:8" x14ac:dyDescent="0.35">
      <c r="A17" s="57" t="s">
        <v>57</v>
      </c>
      <c r="H17" s="52"/>
    </row>
    <row r="18" spans="1:8" x14ac:dyDescent="0.35">
      <c r="A18" s="57" t="s">
        <v>58</v>
      </c>
    </row>
  </sheetData>
  <mergeCells count="8">
    <mergeCell ref="A3:A5"/>
    <mergeCell ref="A6:A8"/>
    <mergeCell ref="A9:A11"/>
    <mergeCell ref="A12:A14"/>
    <mergeCell ref="H6:H8"/>
    <mergeCell ref="H9:H11"/>
    <mergeCell ref="H12:H14"/>
    <mergeCell ref="H3:H5"/>
  </mergeCells>
  <phoneticPr fontId="4" type="noConversion"/>
  <pageMargins left="0.75" right="0.75" top="1" bottom="1" header="0.5" footer="0.5"/>
  <pageSetup scale="5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ExperimentalSetup</vt:lpstr>
      <vt:lpstr>Sheet1</vt:lpstr>
      <vt:lpstr>T=24</vt:lpstr>
      <vt:lpstr>Plate Needs</vt:lpstr>
      <vt:lpstr>Inoculum</vt:lpstr>
      <vt:lpstr>T=2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Levasseur</dc:creator>
  <cp:lastModifiedBy>Jamie</cp:lastModifiedBy>
  <cp:lastPrinted>2019-01-08T20:38:35Z</cp:lastPrinted>
  <dcterms:created xsi:type="dcterms:W3CDTF">2016-02-15T21:32:37Z</dcterms:created>
  <dcterms:modified xsi:type="dcterms:W3CDTF">2019-02-03T02:26:40Z</dcterms:modified>
</cp:coreProperties>
</file>