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"/>
    </mc:Choice>
  </mc:AlternateContent>
  <xr:revisionPtr revIDLastSave="0" documentId="8_{29B22DB3-0CCF-4556-9D41-3CCAD40BD798}" xr6:coauthVersionLast="43" xr6:coauthVersionMax="43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ExperimentalSetup" sheetId="1" r:id="rId1"/>
    <sheet name="Sheet1" sheetId="6" r:id="rId2"/>
    <sheet name="T=24" sheetId="3" r:id="rId3"/>
    <sheet name="Plate Needs" sheetId="5" r:id="rId4"/>
    <sheet name="Inoculum" sheetId="2" r:id="rId5"/>
    <sheet name="T=2" sheetId="4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3" l="1"/>
  <c r="L11" i="3"/>
  <c r="L9" i="3"/>
  <c r="L7" i="3"/>
  <c r="L8" i="3"/>
  <c r="L6" i="3"/>
  <c r="L5" i="3"/>
  <c r="L3" i="3"/>
  <c r="L4" i="3"/>
  <c r="M3" i="3" l="1"/>
  <c r="B4" i="6" l="1"/>
  <c r="C7" i="5" l="1"/>
  <c r="C8" i="5" s="1"/>
  <c r="B7" i="5"/>
  <c r="B8" i="5" s="1"/>
  <c r="H3" i="2"/>
  <c r="Q8" i="1"/>
  <c r="Q24" i="1"/>
  <c r="Q10" i="1"/>
  <c r="Q18" i="1" s="1"/>
  <c r="Q20" i="1" s="1"/>
  <c r="Q22" i="1" s="1"/>
  <c r="Q4" i="1"/>
  <c r="B9" i="5" l="1"/>
  <c r="P8" i="1"/>
  <c r="P10" i="1"/>
  <c r="P18" i="1" s="1"/>
  <c r="P20" i="1" s="1"/>
  <c r="P22" i="1" s="1"/>
  <c r="F3" i="4"/>
  <c r="G3" i="4" s="1"/>
  <c r="N4" i="4" s="1"/>
  <c r="F4" i="4"/>
  <c r="G4" i="4" s="1"/>
  <c r="F5" i="4"/>
  <c r="G5" i="4" s="1"/>
  <c r="N3" i="4" s="1"/>
  <c r="F6" i="4"/>
  <c r="G6" i="4" s="1"/>
  <c r="F7" i="4"/>
  <c r="G7" i="4" s="1"/>
  <c r="F8" i="4"/>
  <c r="G8" i="4" s="1"/>
  <c r="M10" i="3"/>
  <c r="M11" i="3"/>
  <c r="M9" i="3"/>
  <c r="M6" i="3"/>
  <c r="M7" i="3"/>
  <c r="M8" i="3"/>
  <c r="H9" i="2"/>
  <c r="H10" i="2"/>
  <c r="H7" i="2"/>
  <c r="H8" i="2"/>
  <c r="H5" i="2"/>
  <c r="H6" i="2"/>
  <c r="H4" i="2"/>
  <c r="J3" i="2" s="1"/>
  <c r="L3" i="2" s="1"/>
  <c r="C14" i="2" s="1"/>
  <c r="M14" i="3"/>
  <c r="P4" i="1"/>
  <c r="M4" i="3"/>
  <c r="M5" i="3"/>
  <c r="M13" i="3"/>
  <c r="M12" i="3"/>
  <c r="F13" i="4"/>
  <c r="G13" i="4" s="1"/>
  <c r="L15" i="3"/>
  <c r="M15" i="3" s="1"/>
  <c r="L16" i="3"/>
  <c r="M16" i="3" s="1"/>
  <c r="D17" i="3"/>
  <c r="E17" i="3" s="1"/>
  <c r="F10" i="4"/>
  <c r="G10" i="4" s="1"/>
  <c r="F11" i="4"/>
  <c r="G11" i="4" s="1"/>
  <c r="F12" i="4"/>
  <c r="G12" i="4" s="1"/>
  <c r="F14" i="4"/>
  <c r="G14" i="4" s="1"/>
  <c r="F9" i="4"/>
  <c r="G9" i="4" s="1"/>
  <c r="D11" i="2"/>
  <c r="E11" i="2" s="1"/>
  <c r="F11" i="2" s="1"/>
  <c r="H17" i="3"/>
  <c r="I17" i="3" s="1"/>
  <c r="K4" i="4" l="1"/>
  <c r="I5" i="2"/>
  <c r="K5" i="2" s="1"/>
  <c r="M5" i="2" s="1"/>
  <c r="Q5" i="3"/>
  <c r="P5" i="3"/>
  <c r="K6" i="4"/>
  <c r="J5" i="2"/>
  <c r="L5" i="2" s="1"/>
  <c r="C15" i="2" s="1"/>
  <c r="P4" i="3"/>
  <c r="I7" i="2"/>
  <c r="K7" i="2" s="1"/>
  <c r="M7" i="2" s="1"/>
  <c r="I9" i="2"/>
  <c r="K9" i="2" s="1"/>
  <c r="M9" i="2" s="1"/>
  <c r="I3" i="2"/>
  <c r="K3" i="2" s="1"/>
  <c r="M3" i="2" s="1"/>
  <c r="J7" i="2"/>
  <c r="L7" i="2" s="1"/>
  <c r="C16" i="2" s="1"/>
  <c r="L4" i="4"/>
  <c r="K5" i="4"/>
  <c r="L5" i="4"/>
  <c r="B15" i="2"/>
  <c r="P6" i="3"/>
  <c r="Q6" i="3"/>
  <c r="S6" i="3"/>
  <c r="Q3" i="3"/>
  <c r="P3" i="3"/>
  <c r="T3" i="3" s="1"/>
  <c r="S4" i="3"/>
  <c r="S5" i="3"/>
  <c r="H6" i="4"/>
  <c r="H3" i="4"/>
  <c r="K3" i="4"/>
  <c r="O3" i="4" s="1"/>
  <c r="N6" i="4"/>
  <c r="H9" i="4"/>
  <c r="L3" i="4"/>
  <c r="N5" i="4"/>
  <c r="L6" i="4"/>
  <c r="Q4" i="3"/>
  <c r="H12" i="4"/>
  <c r="J9" i="2"/>
  <c r="L9" i="2" s="1"/>
  <c r="C17" i="2" s="1"/>
  <c r="B17" i="2" l="1"/>
  <c r="O6" i="4"/>
  <c r="B16" i="2"/>
  <c r="B14" i="2"/>
  <c r="O5" i="4"/>
  <c r="T4" i="3"/>
  <c r="T6" i="3"/>
  <c r="O4" i="4"/>
  <c r="T5" i="3"/>
</calcChain>
</file>

<file path=xl/sharedStrings.xml><?xml version="1.0" encoding="utf-8"?>
<sst xmlns="http://schemas.openxmlformats.org/spreadsheetml/2006/main" count="251" uniqueCount="106">
  <si>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</si>
  <si>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</si>
  <si>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</si>
  <si>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</si>
  <si>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</si>
  <si>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</si>
  <si>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</si>
  <si>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</si>
  <si>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</si>
  <si>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</si>
  <si>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</si>
  <si>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</si>
  <si>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</si>
  <si>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</si>
  <si>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</si>
  <si>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</si>
  <si>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</si>
  <si>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</si>
  <si>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</si>
  <si>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</si>
  <si>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</si>
  <si>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</si>
  <si>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</si>
  <si>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</si>
  <si>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</si>
  <si>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</si>
  <si>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</si>
  <si>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</si>
  <si>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</si>
  <si>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</si>
  <si>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</si>
  <si>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</si>
  <si>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</si>
  <si>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</si>
  <si>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</si>
  <si>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</si>
  <si>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</si>
  <si>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</si>
  <si>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</si>
  <si>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</si>
  <si>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</si>
  <si>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</si>
  <si>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</si>
  <si>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</si>
  <si>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</si>
  <si>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</si>
  <si>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</si>
  <si>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</si>
  <si>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</si>
  <si>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</si>
  <si>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</si>
  <si>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</si>
  <si>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</si>
  <si>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</si>
  <si>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</si>
  <si>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</si>
  <si>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</si>
  <si>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</si>
  <si>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</si>
  <si>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</si>
  <si>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</si>
  <si>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</si>
  <si>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</si>
  <si>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</si>
  <si>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</si>
  <si>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</si>
  <si>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</si>
  <si>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</si>
  <si>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</si>
  <si>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</si>
  <si>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</si>
  <si>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</si>
  <si>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</si>
  <si>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</si>
  <si>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</si>
  <si>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</si>
  <si>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</si>
  <si>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Example</t>
  </si>
  <si>
    <t>MOI (based on number of seeded macrophage- see setup)</t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</si>
  <si>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</si>
  <si>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</si>
  <si>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</si>
  <si>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</si>
  <si>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</si>
  <si>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</si>
  <si>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</si>
  <si>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</si>
  <si>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</si>
  <si>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</si>
  <si>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</si>
  <si>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</si>
  <si>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</si>
  <si>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</si>
  <si>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</si>
  <si>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</si>
  <si>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</si>
  <si>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</si>
  <si>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</si>
  <si>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</si>
  <si>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</si>
  <si>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</si>
  <si>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r>
      <t>∆</t>
    </r>
    <r>
      <rPr>
        <i/>
        <sz val="12"/>
        <color theme="1"/>
        <rFont val="Calibri"/>
        <family val="2"/>
        <scheme val="minor"/>
      </rPr>
      <t>pmrA ∆priM</t>
    </r>
  </si>
  <si>
    <t>∆pigR</t>
  </si>
  <si>
    <r>
      <t>∆</t>
    </r>
    <r>
      <rPr>
        <i/>
        <sz val="12"/>
        <color theme="1"/>
        <rFont val="Calibri"/>
        <family val="2"/>
        <scheme val="minor"/>
      </rPr>
      <t>pmrA priM</t>
    </r>
  </si>
  <si>
    <t>∆pmrA ∆priM</t>
  </si>
  <si>
    <t>∆pigR*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</si>
</sst>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1" fontId="0" fillId="2" borderId="1" xfId="0" applyNumberFormat="1" applyFill="1" applyBorder="1"/>
    <xf numFmtId="164" fontId="0" fillId="2" borderId="1" xfId="0" applyNumberFormat="1" applyFill="1" applyBorder="1"/>
    <xf numFmtId="166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157179.30313286584</c:v>
                  </c:pt>
                  <c:pt idx="1">
                    <c:v>187.70544300401448</c:v>
                  </c:pt>
                  <c:pt idx="2">
                    <c:v>34078.341117685493</c:v>
                  </c:pt>
                  <c:pt idx="3">
                    <c:v>0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157179.30313286584</c:v>
                  </c:pt>
                  <c:pt idx="1">
                    <c:v>187.70544300401448</c:v>
                  </c:pt>
                  <c:pt idx="2">
                    <c:v>34078.341117685493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∆priM</c:v>
                </c:pt>
                <c:pt idx="3">
                  <c:v>∆pmrA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258666.66666666666</c:v>
                </c:pt>
                <c:pt idx="1">
                  <c:v>123.33333333333333</c:v>
                </c:pt>
                <c:pt idx="2">
                  <c:v>106333.33333333333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21213.203435596428</c:v>
                  </c:pt>
                  <c:pt idx="1">
                    <c:v>7071.0678118654796</c:v>
                  </c:pt>
                  <c:pt idx="2">
                    <c:v>7071.067811865476</c:v>
                  </c:pt>
                  <c:pt idx="3">
                    <c:v>14142.135623730952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21213.203435596428</c:v>
                  </c:pt>
                  <c:pt idx="1">
                    <c:v>7071.0678118654796</c:v>
                  </c:pt>
                  <c:pt idx="2">
                    <c:v>7071.067811865476</c:v>
                  </c:pt>
                  <c:pt idx="3">
                    <c:v>14142.135623730952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∆priM</c:v>
                </c:pt>
                <c:pt idx="3">
                  <c:v>∆pmrA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125000</c:v>
                </c:pt>
                <c:pt idx="1">
                  <c:v>55000</c:v>
                </c:pt>
                <c:pt idx="2">
                  <c:v>165000</c:v>
                </c:pt>
                <c:pt idx="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6.4291005073286307</c:v>
                  </c:pt>
                  <c:pt idx="1">
                    <c:v>11.718930554164627</c:v>
                  </c:pt>
                  <c:pt idx="2">
                    <c:v>16.970562748477139</c:v>
                  </c:pt>
                  <c:pt idx="3">
                    <c:v>25.006665778014728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6.4291005073286307</c:v>
                  </c:pt>
                  <c:pt idx="1">
                    <c:v>11.718930554164627</c:v>
                  </c:pt>
                  <c:pt idx="2">
                    <c:v>16.970562748477139</c:v>
                  </c:pt>
                  <c:pt idx="3">
                    <c:v>25.006665778014728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∆priM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26.666666666666668</c:v>
                </c:pt>
                <c:pt idx="1">
                  <c:v>27.333333333333332</c:v>
                </c:pt>
                <c:pt idx="2">
                  <c:v>76</c:v>
                </c:pt>
                <c:pt idx="3">
                  <c:v>62.666666666666664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6</xdr:row>
      <xdr:rowOff>152400</xdr:rowOff>
    </xdr:from>
    <xdr:to>
      <xdr:col>21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zoomScale="125" zoomScaleNormal="125" zoomScalePageLayoutView="125" workbookViewId="0">
      <selection activeCell="O28" sqref="O28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76</v>
      </c>
      <c r="Q1" s="3" t="s">
        <v>77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47" t="s">
        <v>102</v>
      </c>
      <c r="G2" s="47" t="s">
        <v>102</v>
      </c>
      <c r="H2" s="47" t="s">
        <v>102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6</v>
      </c>
      <c r="P3" s="1">
        <v>0.2</v>
      </c>
      <c r="Q3" s="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ht="31" x14ac:dyDescent="0.35">
      <c r="A5" s="4" t="s">
        <v>9</v>
      </c>
      <c r="B5" s="9" t="s">
        <v>101</v>
      </c>
      <c r="C5" s="9" t="s">
        <v>101</v>
      </c>
      <c r="D5" s="9" t="s">
        <v>101</v>
      </c>
      <c r="E5" s="9"/>
      <c r="F5" s="6" t="s">
        <v>75</v>
      </c>
      <c r="G5" s="6" t="s">
        <v>75</v>
      </c>
      <c r="H5" s="6" t="s">
        <v>75</v>
      </c>
      <c r="I5" s="9"/>
      <c r="J5" s="6" t="s">
        <v>3</v>
      </c>
      <c r="K5" s="6"/>
      <c r="M5" s="1"/>
      <c r="O5" s="1" t="s">
        <v>10</v>
      </c>
      <c r="P5" s="1">
        <v>7</v>
      </c>
      <c r="Q5" s="1">
        <v>7</v>
      </c>
    </row>
    <row r="6" spans="1:24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12</v>
      </c>
      <c r="P6" s="54">
        <v>121000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14</v>
      </c>
      <c r="P7" s="55">
        <v>5</v>
      </c>
      <c r="Q7" s="28">
        <v>3.5</v>
      </c>
      <c r="R7" s="14"/>
    </row>
    <row r="8" spans="1:24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16</v>
      </c>
      <c r="P8" s="55">
        <f>P5-P7</f>
        <v>2</v>
      </c>
      <c r="Q8" s="28">
        <f>Q5-Q7</f>
        <v>3.5</v>
      </c>
      <c r="V8" s="14"/>
      <c r="X8" s="14"/>
    </row>
    <row r="9" spans="1:24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18</v>
      </c>
      <c r="P9" s="54">
        <v>115000</v>
      </c>
      <c r="Q9" s="7">
        <v>92500</v>
      </c>
    </row>
    <row r="10" spans="1:24" x14ac:dyDescent="0.35">
      <c r="H10" s="14"/>
      <c r="O10" s="1" t="s">
        <v>19</v>
      </c>
      <c r="P10" s="54">
        <f>P9*0.2</f>
        <v>23000</v>
      </c>
      <c r="Q10" s="7">
        <f>Q9*0.2</f>
        <v>18500</v>
      </c>
    </row>
    <row r="15" spans="1:24" x14ac:dyDescent="0.35">
      <c r="C15" s="15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76</v>
      </c>
      <c r="Q16" s="3" t="s">
        <v>77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47" t="s">
        <v>102</v>
      </c>
      <c r="G17" s="47" t="s">
        <v>102</v>
      </c>
      <c r="H17" s="47" t="s">
        <v>102</v>
      </c>
      <c r="I17" s="5"/>
      <c r="J17" s="6" t="s">
        <v>70</v>
      </c>
      <c r="K17" s="6"/>
      <c r="L17" s="6"/>
      <c r="M17" s="6"/>
      <c r="O17" s="1" t="s">
        <v>22</v>
      </c>
      <c r="P17" s="17">
        <v>5</v>
      </c>
      <c r="Q17" s="17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18">
        <f>P10</f>
        <v>23000</v>
      </c>
      <c r="Q18" s="18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17">
        <v>0.05</v>
      </c>
      <c r="Q19" s="17">
        <v>0.05</v>
      </c>
    </row>
    <row r="20" spans="1:18" ht="31" x14ac:dyDescent="0.35">
      <c r="A20" s="4" t="s">
        <v>9</v>
      </c>
      <c r="B20" s="9" t="s">
        <v>103</v>
      </c>
      <c r="C20" s="9" t="s">
        <v>103</v>
      </c>
      <c r="D20" s="9" t="s">
        <v>103</v>
      </c>
      <c r="E20" s="9"/>
      <c r="F20" s="6" t="s">
        <v>75</v>
      </c>
      <c r="G20" s="6" t="s">
        <v>75</v>
      </c>
      <c r="H20" s="6" t="s">
        <v>75</v>
      </c>
      <c r="I20" s="9"/>
      <c r="J20" s="6" t="s">
        <v>3</v>
      </c>
      <c r="K20" s="6"/>
      <c r="M20" s="1"/>
      <c r="O20" s="19" t="s">
        <v>25</v>
      </c>
      <c r="P20" s="18">
        <f>(P18*P17/P19)</f>
        <v>2300000</v>
      </c>
      <c r="Q20" s="18">
        <f>(Q18*Q17/Q19)</f>
        <v>1850000</v>
      </c>
    </row>
    <row r="21" spans="1:18" x14ac:dyDescent="0.35">
      <c r="A21" s="4" t="s">
        <v>11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26</v>
      </c>
      <c r="P21" s="18">
        <v>5810000000</v>
      </c>
      <c r="Q21" s="18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27</v>
      </c>
      <c r="P22" s="20">
        <f>P20/P21</f>
        <v>3.9586919104991393E-4</v>
      </c>
      <c r="Q22" s="20">
        <f>Q20/Q21</f>
        <v>3.1841652323580036E-4</v>
      </c>
    </row>
    <row r="23" spans="1:18" x14ac:dyDescent="0.35">
      <c r="A23" s="4" t="s">
        <v>15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28</v>
      </c>
      <c r="P23" s="56">
        <v>0.04</v>
      </c>
      <c r="Q23" s="21">
        <v>0.03</v>
      </c>
    </row>
    <row r="24" spans="1:18" x14ac:dyDescent="0.35">
      <c r="A24" s="4" t="s">
        <v>17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29</v>
      </c>
      <c r="P24" s="57">
        <v>4.0000000000000002E-4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30</v>
      </c>
      <c r="P26" t="s">
        <v>0</v>
      </c>
    </row>
    <row r="27" spans="1:18" x14ac:dyDescent="0.35">
      <c r="G27" s="10">
        <v>2</v>
      </c>
      <c r="H27" s="47" t="s">
        <v>102</v>
      </c>
    </row>
    <row r="28" spans="1:18" ht="31" x14ac:dyDescent="0.35">
      <c r="G28" s="10">
        <v>3</v>
      </c>
      <c r="H28" s="9" t="s">
        <v>103</v>
      </c>
    </row>
    <row r="29" spans="1:18" x14ac:dyDescent="0.35">
      <c r="G29" s="10">
        <v>4</v>
      </c>
      <c r="H29" s="6" t="s">
        <v>75</v>
      </c>
      <c r="R29" s="14"/>
    </row>
  </sheetData>
  <phoneticPr fontId="4" type="noConversion"/>
  <pageMargins left="0.75" right="0.75" top="1" bottom="1" header="0.5" footer="0.5"/>
  <pageSetup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RowHeight="15.5" x14ac:dyDescent="0.35"/>
  <cols>
    <col min="2" max="2" width="11.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97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46">
        <v>4.8611111111111112E-2</v>
      </c>
      <c r="C3" s="43"/>
      <c r="D3" s="44"/>
      <c r="E3" s="44"/>
      <c r="F3" s="9"/>
      <c r="G3" s="9" t="s">
        <v>98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45" t="str">
        <f>"1:100"</f>
        <v>1:100</v>
      </c>
      <c r="C4" s="45"/>
      <c r="D4" s="45"/>
      <c r="E4" s="44"/>
      <c r="F4" s="6"/>
      <c r="G4" s="6" t="s">
        <v>98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44" t="s">
        <v>99</v>
      </c>
      <c r="C5" s="44"/>
      <c r="D5" s="44"/>
      <c r="E5" s="44"/>
      <c r="F5" s="6"/>
      <c r="G5" s="6" t="s">
        <v>98</v>
      </c>
      <c r="H5" s="6"/>
      <c r="I5" s="9"/>
      <c r="J5" s="6"/>
      <c r="K5" s="6"/>
      <c r="M5" s="1"/>
    </row>
    <row r="6" spans="1:13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tabSelected="1" showRuler="0" topLeftCell="D1" workbookViewId="0">
      <selection activeCell="R3" sqref="R3:R6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50" t="s">
        <v>59</v>
      </c>
      <c r="D1" s="50"/>
      <c r="E1" s="50"/>
      <c r="F1" s="35"/>
      <c r="G1" s="50" t="s">
        <v>60</v>
      </c>
      <c r="H1" s="50"/>
      <c r="I1" s="50"/>
      <c r="J1" s="23"/>
    </row>
    <row r="2" spans="1:22" ht="46.5" x14ac:dyDescent="0.35">
      <c r="A2" s="22"/>
      <c r="B2" s="22" t="s">
        <v>50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9" t="s">
        <v>33</v>
      </c>
      <c r="L2" s="26" t="s">
        <v>53</v>
      </c>
      <c r="M2" s="26" t="s">
        <v>37</v>
      </c>
      <c r="N2" s="36"/>
      <c r="O2" s="1"/>
      <c r="P2" s="26" t="s">
        <v>54</v>
      </c>
      <c r="Q2" s="22" t="s">
        <v>55</v>
      </c>
      <c r="R2" s="39" t="s">
        <v>56</v>
      </c>
      <c r="S2" s="16" t="s">
        <v>72</v>
      </c>
      <c r="T2" s="16" t="s">
        <v>63</v>
      </c>
    </row>
    <row r="3" spans="1:22" x14ac:dyDescent="0.35">
      <c r="A3" s="63" t="s">
        <v>30</v>
      </c>
      <c r="B3" s="10" t="s">
        <v>38</v>
      </c>
      <c r="C3" s="17" t="s">
        <v>39</v>
      </c>
      <c r="D3" s="17"/>
      <c r="E3" s="32"/>
      <c r="F3" s="32">
        <v>25</v>
      </c>
      <c r="G3" s="17" t="s">
        <v>39</v>
      </c>
      <c r="H3" s="17"/>
      <c r="I3" s="32"/>
      <c r="J3" s="32">
        <v>17</v>
      </c>
      <c r="K3" s="58">
        <v>1E-3</v>
      </c>
      <c r="L3" s="29">
        <f>AVERAGE(F3,J3)</f>
        <v>21</v>
      </c>
      <c r="M3" s="7">
        <f>(L3/(0.01*K3))*0.2</f>
        <v>420000</v>
      </c>
      <c r="N3" s="14"/>
      <c r="O3" s="9" t="s">
        <v>30</v>
      </c>
      <c r="P3" s="7">
        <f>AVERAGE(M3:M5)</f>
        <v>258666.66666666666</v>
      </c>
      <c r="Q3" s="7">
        <f>STDEV(M3:M5)</f>
        <v>157179.30313286584</v>
      </c>
      <c r="R3" s="55">
        <v>9.691011235955056</v>
      </c>
      <c r="S3" s="1"/>
      <c r="T3" s="13">
        <f>IF(P3/$P$3&gt;=1,P3/$P$3,-$P$3/P3)</f>
        <v>1</v>
      </c>
    </row>
    <row r="4" spans="1:22" x14ac:dyDescent="0.35">
      <c r="A4" s="63"/>
      <c r="B4" s="10" t="s">
        <v>41</v>
      </c>
      <c r="C4" s="17" t="s">
        <v>39</v>
      </c>
      <c r="D4" s="17"/>
      <c r="E4" s="32">
        <v>56</v>
      </c>
      <c r="F4" s="32"/>
      <c r="G4" s="17" t="s">
        <v>39</v>
      </c>
      <c r="H4" s="17"/>
      <c r="I4" s="32">
        <v>50</v>
      </c>
      <c r="J4" s="32"/>
      <c r="K4" s="58">
        <v>0.01</v>
      </c>
      <c r="L4" s="29">
        <f>AVERAGE(E4,I4)</f>
        <v>53</v>
      </c>
      <c r="M4" s="7">
        <f>(L4/(0.01*K4))*0.2</f>
        <v>106000</v>
      </c>
      <c r="N4" s="14"/>
      <c r="O4" s="9" t="s">
        <v>102</v>
      </c>
      <c r="P4" s="7">
        <f>AVERAGE(M6:M8)</f>
        <v>123.33333333333333</v>
      </c>
      <c r="Q4" s="7">
        <f>STDEV(M6:M8)</f>
        <v>187.70544300401448</v>
      </c>
      <c r="R4" s="55">
        <v>9.691011235955056</v>
      </c>
      <c r="S4" s="21">
        <f>TTEST(M3:M5,M6:M8,2,2)</f>
        <v>4.644093273801847E-2</v>
      </c>
      <c r="T4" s="13">
        <f>IF(P4/$P$3&gt;=1,P4/$P$3,-$P$3/P4)</f>
        <v>-2097.2972972972975</v>
      </c>
    </row>
    <row r="5" spans="1:22" x14ac:dyDescent="0.35">
      <c r="A5" s="63"/>
      <c r="B5" s="10" t="s">
        <v>64</v>
      </c>
      <c r="C5" s="17" t="s">
        <v>39</v>
      </c>
      <c r="D5" s="17"/>
      <c r="E5" s="32"/>
      <c r="F5" s="32">
        <v>10</v>
      </c>
      <c r="G5" s="17" t="s">
        <v>39</v>
      </c>
      <c r="H5" s="17"/>
      <c r="I5" s="32"/>
      <c r="J5" s="32">
        <v>15</v>
      </c>
      <c r="K5" s="58">
        <v>1E-3</v>
      </c>
      <c r="L5" s="29">
        <f>AVERAGE(F5,J5)</f>
        <v>12.5</v>
      </c>
      <c r="M5" s="7">
        <f>(L5/(0.01*K5))*0.2</f>
        <v>250000</v>
      </c>
      <c r="N5" s="14"/>
      <c r="O5" s="9" t="s">
        <v>104</v>
      </c>
      <c r="P5" s="7">
        <f>AVERAGE(M9:M11)</f>
        <v>106333.33333333333</v>
      </c>
      <c r="Q5" s="7">
        <f>STDEV(M9:M11)</f>
        <v>34078.341117685493</v>
      </c>
      <c r="R5" s="55">
        <v>5.4775280898876408</v>
      </c>
      <c r="S5" s="21">
        <f>TTEST(M3:M5,M9:M11,2,2)</f>
        <v>0.17623789042033527</v>
      </c>
      <c r="T5" s="13">
        <f>IF(P5/$P$3&gt;=1,P5/$P$3,-$P$3/P5)</f>
        <v>-2.4326018808777428</v>
      </c>
    </row>
    <row r="6" spans="1:22" x14ac:dyDescent="0.35">
      <c r="A6" s="62" t="s">
        <v>105</v>
      </c>
      <c r="B6" s="10" t="s">
        <v>42</v>
      </c>
      <c r="C6" s="17">
        <v>27</v>
      </c>
      <c r="D6" s="17"/>
      <c r="E6" s="32"/>
      <c r="F6" s="32"/>
      <c r="G6" s="17">
        <v>7</v>
      </c>
      <c r="H6" s="17"/>
      <c r="I6" s="32"/>
      <c r="J6" s="32"/>
      <c r="K6" s="58">
        <v>1</v>
      </c>
      <c r="L6" s="29">
        <f>AVERAGE(C6,G6)</f>
        <v>17</v>
      </c>
      <c r="M6" s="7">
        <f t="shared" ref="M6:M11" si="0">(L6/(0.01*K6))*0.2</f>
        <v>340</v>
      </c>
      <c r="N6" s="14"/>
      <c r="O6" s="9" t="s">
        <v>75</v>
      </c>
      <c r="P6" s="7">
        <f>AVERAGE(M12:M14)</f>
        <v>2000</v>
      </c>
      <c r="Q6" s="7">
        <f>STDEV(M12:M14)</f>
        <v>0</v>
      </c>
      <c r="R6" s="55">
        <v>5.7584269662921352</v>
      </c>
      <c r="S6" s="21">
        <f>TTEST(M3:M5,M12:M14,2,2)</f>
        <v>4.7423868885358593E-2</v>
      </c>
      <c r="T6" s="13">
        <f>IF(P6/$P$3&gt;=1,P6/$P$3,-$P$3/P6)</f>
        <v>-129.33333333333331</v>
      </c>
      <c r="V6" s="14"/>
    </row>
    <row r="7" spans="1:22" ht="15" customHeight="1" x14ac:dyDescent="0.35">
      <c r="A7" s="61"/>
      <c r="B7" s="10" t="s">
        <v>43</v>
      </c>
      <c r="C7" s="17">
        <v>0</v>
      </c>
      <c r="D7" s="17"/>
      <c r="E7" s="32"/>
      <c r="F7" s="32"/>
      <c r="G7" s="17">
        <v>2</v>
      </c>
      <c r="H7" s="17"/>
      <c r="I7" s="32"/>
      <c r="J7" s="32"/>
      <c r="K7" s="58">
        <v>1</v>
      </c>
      <c r="L7" s="29">
        <f t="shared" ref="L7:L8" si="1">AVERAGE(C7,G7)</f>
        <v>1</v>
      </c>
      <c r="M7" s="7">
        <f>(L7/(0.01*K7))*0.2</f>
        <v>20</v>
      </c>
      <c r="N7" s="14"/>
    </row>
    <row r="8" spans="1:22" ht="15" customHeight="1" x14ac:dyDescent="0.35">
      <c r="A8" s="61"/>
      <c r="B8" s="10" t="s">
        <v>67</v>
      </c>
      <c r="C8" s="17">
        <v>0</v>
      </c>
      <c r="D8" s="17"/>
      <c r="E8" s="32"/>
      <c r="F8" s="32"/>
      <c r="G8" s="17">
        <v>1</v>
      </c>
      <c r="H8" s="17"/>
      <c r="I8" s="32"/>
      <c r="J8" s="32"/>
      <c r="K8" s="58">
        <v>1</v>
      </c>
      <c r="L8" s="29">
        <f t="shared" si="1"/>
        <v>0.5</v>
      </c>
      <c r="M8" s="7">
        <f t="shared" si="0"/>
        <v>10</v>
      </c>
      <c r="N8" s="14"/>
    </row>
    <row r="9" spans="1:22" ht="15" customHeight="1" x14ac:dyDescent="0.35">
      <c r="A9" s="61" t="s">
        <v>104</v>
      </c>
      <c r="B9" s="10" t="s">
        <v>44</v>
      </c>
      <c r="C9" s="17"/>
      <c r="D9" s="32"/>
      <c r="E9" s="17">
        <v>60</v>
      </c>
      <c r="F9" s="17"/>
      <c r="G9" s="34"/>
      <c r="H9" s="32"/>
      <c r="I9" s="17">
        <v>49</v>
      </c>
      <c r="J9" s="17"/>
      <c r="K9" s="58">
        <v>0.01</v>
      </c>
      <c r="L9" s="1">
        <f>AVERAGE(E9,I9)</f>
        <v>54.5</v>
      </c>
      <c r="M9" s="7">
        <f t="shared" si="0"/>
        <v>109000</v>
      </c>
      <c r="N9" s="14"/>
    </row>
    <row r="10" spans="1:22" x14ac:dyDescent="0.35">
      <c r="A10" s="61"/>
      <c r="B10" s="10" t="s">
        <v>45</v>
      </c>
      <c r="C10" s="17"/>
      <c r="D10" s="32"/>
      <c r="E10" s="17">
        <v>38</v>
      </c>
      <c r="F10" s="17"/>
      <c r="G10" s="17"/>
      <c r="H10" s="32"/>
      <c r="I10" s="17">
        <v>33</v>
      </c>
      <c r="J10" s="17"/>
      <c r="K10" s="58">
        <v>0.01</v>
      </c>
      <c r="L10" s="1">
        <f t="shared" ref="L10:L11" si="2">AVERAGE(E10,I10)</f>
        <v>35.5</v>
      </c>
      <c r="M10" s="7">
        <f t="shared" si="0"/>
        <v>71000</v>
      </c>
      <c r="N10" s="14"/>
    </row>
    <row r="11" spans="1:22" ht="15" customHeight="1" x14ac:dyDescent="0.35">
      <c r="A11" s="61"/>
      <c r="B11" s="10" t="s">
        <v>65</v>
      </c>
      <c r="C11" s="17"/>
      <c r="D11" s="32"/>
      <c r="E11" s="17">
        <v>63</v>
      </c>
      <c r="F11" s="17"/>
      <c r="G11" s="17"/>
      <c r="H11" s="32"/>
      <c r="I11" s="17">
        <v>76</v>
      </c>
      <c r="J11" s="17"/>
      <c r="K11" s="58">
        <v>0.01</v>
      </c>
      <c r="L11" s="1">
        <f t="shared" si="2"/>
        <v>69.5</v>
      </c>
      <c r="M11" s="7">
        <f t="shared" si="0"/>
        <v>139000</v>
      </c>
      <c r="N11" s="14"/>
    </row>
    <row r="12" spans="1:22" ht="16" customHeight="1" x14ac:dyDescent="0.35">
      <c r="A12" s="61" t="s">
        <v>80</v>
      </c>
      <c r="B12" s="10" t="s">
        <v>46</v>
      </c>
      <c r="C12" s="32"/>
      <c r="D12" s="17"/>
      <c r="E12" s="32"/>
      <c r="F12" s="32"/>
      <c r="G12" s="38"/>
      <c r="H12" s="17"/>
      <c r="I12" s="32"/>
      <c r="J12" s="32"/>
      <c r="K12" s="58">
        <v>1</v>
      </c>
      <c r="L12" s="1">
        <v>500</v>
      </c>
      <c r="M12" s="7">
        <f>(L12/(0.05*K12))*0.2</f>
        <v>2000</v>
      </c>
      <c r="N12" s="14"/>
    </row>
    <row r="13" spans="1:22" ht="15" customHeight="1" x14ac:dyDescent="0.35">
      <c r="A13" s="61"/>
      <c r="B13" s="10" t="s">
        <v>47</v>
      </c>
      <c r="C13" s="32"/>
      <c r="D13" s="17"/>
      <c r="E13" s="32"/>
      <c r="F13" s="32"/>
      <c r="G13" s="32"/>
      <c r="H13" s="17"/>
      <c r="I13" s="32"/>
      <c r="J13" s="32"/>
      <c r="K13" s="58">
        <v>1</v>
      </c>
      <c r="L13" s="1">
        <v>500</v>
      </c>
      <c r="M13" s="7">
        <f>(L13/(0.05*K13))*0.2</f>
        <v>2000</v>
      </c>
      <c r="N13" s="14"/>
    </row>
    <row r="14" spans="1:22" x14ac:dyDescent="0.35">
      <c r="A14" s="61"/>
      <c r="B14" s="10" t="s">
        <v>66</v>
      </c>
      <c r="C14" s="32"/>
      <c r="D14" s="32"/>
      <c r="E14" s="32"/>
      <c r="F14" s="32"/>
      <c r="G14" s="32"/>
      <c r="H14" s="32"/>
      <c r="I14" s="32"/>
      <c r="J14" s="32"/>
      <c r="K14" s="58">
        <v>1</v>
      </c>
      <c r="L14" s="1">
        <v>500</v>
      </c>
      <c r="M14" s="7">
        <f>(L14/(0.05*K14))*0.2</f>
        <v>2000</v>
      </c>
      <c r="N14" s="14"/>
    </row>
    <row r="15" spans="1:22" x14ac:dyDescent="0.35">
      <c r="A15" s="33" t="s">
        <v>68</v>
      </c>
      <c r="B15" s="10"/>
      <c r="C15" s="17">
        <v>0</v>
      </c>
      <c r="D15" s="17" t="s">
        <v>40</v>
      </c>
      <c r="E15" s="17" t="s">
        <v>40</v>
      </c>
      <c r="F15" s="17"/>
      <c r="G15" s="17" t="s">
        <v>40</v>
      </c>
      <c r="H15" s="17" t="s">
        <v>40</v>
      </c>
      <c r="I15" s="17" t="s">
        <v>40</v>
      </c>
      <c r="J15" s="17"/>
      <c r="K15" s="58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3" t="s">
        <v>69</v>
      </c>
      <c r="B16" s="10"/>
      <c r="C16" s="17">
        <v>0</v>
      </c>
      <c r="D16" s="17" t="s">
        <v>40</v>
      </c>
      <c r="E16" s="17" t="s">
        <v>40</v>
      </c>
      <c r="F16" s="17"/>
      <c r="G16" s="17" t="s">
        <v>40</v>
      </c>
      <c r="H16" s="17" t="s">
        <v>40</v>
      </c>
      <c r="I16" s="17" t="s">
        <v>40</v>
      </c>
      <c r="J16" s="17"/>
      <c r="K16" s="58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48" t="s">
        <v>71</v>
      </c>
      <c r="B18" s="48"/>
      <c r="C18" s="48"/>
    </row>
    <row r="19" spans="1:14" x14ac:dyDescent="0.35">
      <c r="A19" s="48" t="s">
        <v>61</v>
      </c>
      <c r="B19" s="48"/>
      <c r="C19" s="48"/>
      <c r="D19" s="37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4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3" sqref="D13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0" t="s">
        <v>81</v>
      </c>
      <c r="C1" s="50"/>
    </row>
    <row r="2" spans="1:4" x14ac:dyDescent="0.35">
      <c r="A2" s="22" t="s">
        <v>96</v>
      </c>
      <c r="B2" s="23" t="s">
        <v>83</v>
      </c>
      <c r="C2" s="23" t="s">
        <v>84</v>
      </c>
      <c r="D2" s="22" t="s">
        <v>87</v>
      </c>
    </row>
    <row r="3" spans="1:4" x14ac:dyDescent="0.35">
      <c r="A3" s="1" t="s">
        <v>82</v>
      </c>
      <c r="B3" s="17">
        <v>4</v>
      </c>
      <c r="C3" s="40"/>
      <c r="D3" s="1" t="s">
        <v>88</v>
      </c>
    </row>
    <row r="4" spans="1:4" x14ac:dyDescent="0.35">
      <c r="A4" s="1" t="s">
        <v>85</v>
      </c>
      <c r="B4" s="17">
        <v>0</v>
      </c>
      <c r="C4" s="40">
        <v>8</v>
      </c>
      <c r="D4" s="1" t="s">
        <v>89</v>
      </c>
    </row>
    <row r="5" spans="1:4" x14ac:dyDescent="0.35">
      <c r="A5" s="1" t="s">
        <v>86</v>
      </c>
      <c r="B5" s="17">
        <v>26</v>
      </c>
      <c r="C5" s="40"/>
      <c r="D5" s="1" t="s">
        <v>90</v>
      </c>
    </row>
    <row r="6" spans="1:4" ht="31" x14ac:dyDescent="0.35">
      <c r="A6" s="1" t="s">
        <v>91</v>
      </c>
      <c r="B6" s="17">
        <v>8</v>
      </c>
      <c r="C6" s="40">
        <v>18</v>
      </c>
      <c r="D6" s="19" t="s">
        <v>100</v>
      </c>
    </row>
    <row r="7" spans="1:4" x14ac:dyDescent="0.35">
      <c r="A7" s="22" t="s">
        <v>92</v>
      </c>
      <c r="B7" s="32">
        <f>SUM(B3:B6)</f>
        <v>38</v>
      </c>
      <c r="C7" s="42">
        <f>SUM(C3:C6)</f>
        <v>26</v>
      </c>
      <c r="D7" s="1"/>
    </row>
    <row r="8" spans="1:4" x14ac:dyDescent="0.35">
      <c r="A8" s="1" t="s">
        <v>93</v>
      </c>
      <c r="B8" s="17">
        <f>B7/25</f>
        <v>1.52</v>
      </c>
      <c r="C8" s="40">
        <f>C7/20</f>
        <v>1.3</v>
      </c>
      <c r="D8" s="1" t="s">
        <v>95</v>
      </c>
    </row>
    <row r="9" spans="1:4" x14ac:dyDescent="0.35">
      <c r="A9" s="22" t="s">
        <v>94</v>
      </c>
      <c r="B9" s="32">
        <f>SUM(B8:C8)</f>
        <v>2.8200000000000003</v>
      </c>
      <c r="C9" s="41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workbookViewId="0">
      <selection activeCell="M16" sqref="M16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31</v>
      </c>
      <c r="B1" s="23"/>
      <c r="C1" s="52"/>
      <c r="D1" s="52"/>
      <c r="E1" s="52"/>
      <c r="F1" s="52"/>
    </row>
    <row r="2" spans="1:13" ht="46.5" x14ac:dyDescent="0.35">
      <c r="A2" s="22"/>
      <c r="B2" s="24" t="s">
        <v>32</v>
      </c>
      <c r="C2" s="22">
        <v>1</v>
      </c>
      <c r="D2" s="22">
        <v>2</v>
      </c>
      <c r="E2" s="25">
        <v>3</v>
      </c>
      <c r="F2" s="22">
        <v>4</v>
      </c>
      <c r="G2" s="26" t="s">
        <v>33</v>
      </c>
      <c r="H2" s="26" t="s">
        <v>34</v>
      </c>
      <c r="I2" s="26" t="s">
        <v>35</v>
      </c>
      <c r="J2" s="26" t="s">
        <v>36</v>
      </c>
      <c r="K2" s="26" t="s">
        <v>49</v>
      </c>
      <c r="L2" s="26" t="s">
        <v>36</v>
      </c>
      <c r="M2" s="16" t="s">
        <v>78</v>
      </c>
    </row>
    <row r="3" spans="1:13" x14ac:dyDescent="0.35">
      <c r="A3" s="61" t="s">
        <v>30</v>
      </c>
      <c r="B3" s="27" t="s">
        <v>38</v>
      </c>
      <c r="C3" s="17" t="s">
        <v>39</v>
      </c>
      <c r="D3" s="17" t="s">
        <v>39</v>
      </c>
      <c r="E3" s="17" t="s">
        <v>39</v>
      </c>
      <c r="F3" s="17">
        <v>28</v>
      </c>
      <c r="G3" s="58">
        <v>1E-3</v>
      </c>
      <c r="H3" s="18">
        <f>F3/(G3*0.01)</f>
        <v>2800000</v>
      </c>
      <c r="I3" s="7">
        <f>AVERAGE(H3:H4)</f>
        <v>2500000</v>
      </c>
      <c r="J3" s="7">
        <f>STDEV(H3:H4)</f>
        <v>424264.0687119285</v>
      </c>
      <c r="K3" s="7">
        <f>I3*0.05</f>
        <v>125000</v>
      </c>
      <c r="L3" s="7">
        <f>J3*0.05</f>
        <v>21213.203435596428</v>
      </c>
      <c r="M3" s="55">
        <f>K3/18500</f>
        <v>6.756756756756757</v>
      </c>
    </row>
    <row r="4" spans="1:13" x14ac:dyDescent="0.35">
      <c r="A4" s="61"/>
      <c r="B4" s="27" t="s">
        <v>41</v>
      </c>
      <c r="C4" s="17" t="s">
        <v>39</v>
      </c>
      <c r="D4" s="17" t="s">
        <v>39</v>
      </c>
      <c r="E4" s="17" t="s">
        <v>39</v>
      </c>
      <c r="F4" s="17">
        <v>22</v>
      </c>
      <c r="G4" s="58">
        <v>1E-3</v>
      </c>
      <c r="H4" s="18">
        <f t="shared" ref="H4:H10" si="0">F4/(G4*0.01)</f>
        <v>2200000</v>
      </c>
      <c r="I4" s="29"/>
      <c r="J4" s="29"/>
      <c r="K4" s="7"/>
      <c r="L4" s="7"/>
      <c r="M4" s="55"/>
    </row>
    <row r="5" spans="1:13" x14ac:dyDescent="0.35">
      <c r="A5" s="62" t="s">
        <v>102</v>
      </c>
      <c r="B5" s="27" t="s">
        <v>42</v>
      </c>
      <c r="C5" s="17" t="s">
        <v>39</v>
      </c>
      <c r="D5" s="17" t="s">
        <v>39</v>
      </c>
      <c r="E5" s="17" t="s">
        <v>39</v>
      </c>
      <c r="F5" s="17">
        <v>12</v>
      </c>
      <c r="G5" s="58">
        <v>1E-3</v>
      </c>
      <c r="H5" s="18">
        <f t="shared" si="0"/>
        <v>1200000</v>
      </c>
      <c r="I5" s="7">
        <f>AVERAGE(H5:H6)</f>
        <v>1100000</v>
      </c>
      <c r="J5" s="7">
        <f>STDEV(H5:H6)</f>
        <v>141421.35623730958</v>
      </c>
      <c r="K5" s="7">
        <f>I5*0.05</f>
        <v>55000</v>
      </c>
      <c r="L5" s="7">
        <f>J5*0.05</f>
        <v>7071.0678118654796</v>
      </c>
      <c r="M5" s="55">
        <f>K5/18500</f>
        <v>2.9729729729729728</v>
      </c>
    </row>
    <row r="6" spans="1:13" x14ac:dyDescent="0.35">
      <c r="A6" s="61"/>
      <c r="B6" s="27" t="s">
        <v>43</v>
      </c>
      <c r="C6" s="17" t="s">
        <v>39</v>
      </c>
      <c r="D6" s="17" t="s">
        <v>39</v>
      </c>
      <c r="E6" s="17" t="s">
        <v>39</v>
      </c>
      <c r="F6" s="17">
        <v>10</v>
      </c>
      <c r="G6" s="58">
        <v>1E-3</v>
      </c>
      <c r="H6" s="18">
        <f t="shared" si="0"/>
        <v>999999.99999999988</v>
      </c>
      <c r="I6" s="29"/>
      <c r="J6" s="29"/>
      <c r="K6" s="7"/>
      <c r="L6" s="7"/>
      <c r="M6" s="55"/>
    </row>
    <row r="7" spans="1:13" x14ac:dyDescent="0.35">
      <c r="A7" s="62" t="s">
        <v>104</v>
      </c>
      <c r="B7" s="27" t="s">
        <v>44</v>
      </c>
      <c r="C7" s="17" t="s">
        <v>39</v>
      </c>
      <c r="D7" s="17" t="s">
        <v>39</v>
      </c>
      <c r="E7" s="17" t="s">
        <v>39</v>
      </c>
      <c r="F7" s="17">
        <v>32</v>
      </c>
      <c r="G7" s="58">
        <v>1E-3</v>
      </c>
      <c r="H7" s="18">
        <f t="shared" si="0"/>
        <v>3199999.9999999995</v>
      </c>
      <c r="I7" s="7">
        <f>AVERAGE(H7:H8)</f>
        <v>3299999.9999999995</v>
      </c>
      <c r="J7" s="7">
        <f>STDEV(H7:H8)</f>
        <v>141421.35623730952</v>
      </c>
      <c r="K7" s="7">
        <f>I7*0.05</f>
        <v>165000</v>
      </c>
      <c r="L7" s="7">
        <f>J7*0.05</f>
        <v>7071.067811865476</v>
      </c>
      <c r="M7" s="55">
        <f>K7/18500</f>
        <v>8.9189189189189193</v>
      </c>
    </row>
    <row r="8" spans="1:13" x14ac:dyDescent="0.35">
      <c r="A8" s="62"/>
      <c r="B8" s="27" t="s">
        <v>45</v>
      </c>
      <c r="C8" s="17" t="s">
        <v>39</v>
      </c>
      <c r="D8" s="17" t="s">
        <v>39</v>
      </c>
      <c r="E8" s="17" t="s">
        <v>39</v>
      </c>
      <c r="F8" s="17">
        <v>34</v>
      </c>
      <c r="G8" s="58">
        <v>1E-3</v>
      </c>
      <c r="H8" s="18">
        <f t="shared" si="0"/>
        <v>3399999.9999999995</v>
      </c>
      <c r="I8" s="29"/>
      <c r="J8" s="29"/>
      <c r="K8" s="7"/>
      <c r="L8" s="7"/>
      <c r="M8" s="55"/>
    </row>
    <row r="9" spans="1:13" ht="16" customHeight="1" x14ac:dyDescent="0.35">
      <c r="A9" s="61" t="s">
        <v>79</v>
      </c>
      <c r="B9" s="27" t="s">
        <v>46</v>
      </c>
      <c r="C9" s="17" t="s">
        <v>39</v>
      </c>
      <c r="D9" s="17" t="s">
        <v>39</v>
      </c>
      <c r="E9" s="17" t="s">
        <v>39</v>
      </c>
      <c r="F9" s="17">
        <v>11</v>
      </c>
      <c r="G9" s="58">
        <v>1E-3</v>
      </c>
      <c r="H9" s="18">
        <f t="shared" si="0"/>
        <v>1100000</v>
      </c>
      <c r="I9" s="7">
        <f>AVERAGE(H9:H10)</f>
        <v>900000</v>
      </c>
      <c r="J9" s="7">
        <f>STDEV(H9:H10)</f>
        <v>282842.71247461904</v>
      </c>
      <c r="K9" s="7">
        <f>I9*0.05</f>
        <v>45000</v>
      </c>
      <c r="L9" s="7">
        <f>J9*0.05</f>
        <v>14142.135623730952</v>
      </c>
      <c r="M9" s="55">
        <f>K9/18500</f>
        <v>2.4324324324324325</v>
      </c>
    </row>
    <row r="10" spans="1:13" x14ac:dyDescent="0.35">
      <c r="A10" s="61"/>
      <c r="B10" s="27" t="s">
        <v>47</v>
      </c>
      <c r="C10" s="17" t="s">
        <v>39</v>
      </c>
      <c r="D10" s="17" t="s">
        <v>39</v>
      </c>
      <c r="E10" s="17" t="s">
        <v>39</v>
      </c>
      <c r="F10" s="17">
        <v>7</v>
      </c>
      <c r="G10" s="58">
        <v>1E-3</v>
      </c>
      <c r="H10" s="18">
        <f t="shared" si="0"/>
        <v>700000</v>
      </c>
      <c r="I10" s="29"/>
      <c r="J10" s="29"/>
      <c r="K10" s="7"/>
      <c r="L10" s="7"/>
      <c r="M10" s="28"/>
    </row>
    <row r="11" spans="1:13" x14ac:dyDescent="0.35">
      <c r="A11" s="1" t="s">
        <v>48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49</v>
      </c>
      <c r="C13" s="1" t="s">
        <v>36</v>
      </c>
    </row>
    <row r="14" spans="1:13" x14ac:dyDescent="0.35">
      <c r="A14" s="59" t="s">
        <v>30</v>
      </c>
      <c r="B14" s="7">
        <f>K3</f>
        <v>125000</v>
      </c>
      <c r="C14" s="7">
        <f>L3</f>
        <v>21213.203435596428</v>
      </c>
    </row>
    <row r="15" spans="1:13" x14ac:dyDescent="0.35">
      <c r="A15" s="60" t="s">
        <v>102</v>
      </c>
      <c r="B15" s="7">
        <f>K5</f>
        <v>55000</v>
      </c>
      <c r="C15" s="7">
        <f>L5</f>
        <v>7071.0678118654796</v>
      </c>
    </row>
    <row r="16" spans="1:13" x14ac:dyDescent="0.35">
      <c r="A16" s="59" t="s">
        <v>101</v>
      </c>
      <c r="B16" s="7">
        <f>K7</f>
        <v>165000</v>
      </c>
      <c r="C16" s="7">
        <f>L7</f>
        <v>7071.067811865476</v>
      </c>
    </row>
    <row r="17" spans="1:3" x14ac:dyDescent="0.35">
      <c r="A17" s="59" t="s">
        <v>75</v>
      </c>
      <c r="B17" s="7">
        <f>K9</f>
        <v>45000</v>
      </c>
      <c r="C17" s="7">
        <f>L9</f>
        <v>14142.135623730952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topLeftCell="A3" workbookViewId="0">
      <selection activeCell="M3" sqref="M3:M6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5" t="s">
        <v>50</v>
      </c>
      <c r="C2" s="35" t="s">
        <v>51</v>
      </c>
      <c r="D2" s="35" t="s">
        <v>52</v>
      </c>
      <c r="E2" s="16" t="s">
        <v>33</v>
      </c>
      <c r="F2" s="16" t="s">
        <v>53</v>
      </c>
      <c r="G2" s="16" t="s">
        <v>37</v>
      </c>
      <c r="H2" s="16" t="s">
        <v>62</v>
      </c>
      <c r="J2" s="1"/>
      <c r="K2" s="26" t="s">
        <v>54</v>
      </c>
      <c r="L2" s="22" t="s">
        <v>55</v>
      </c>
      <c r="M2" s="39" t="s">
        <v>56</v>
      </c>
      <c r="N2" s="35" t="s">
        <v>62</v>
      </c>
      <c r="O2" s="16" t="s">
        <v>63</v>
      </c>
    </row>
    <row r="3" spans="1:25" x14ac:dyDescent="0.35">
      <c r="A3" s="51" t="s">
        <v>30</v>
      </c>
      <c r="B3" s="10" t="s">
        <v>38</v>
      </c>
      <c r="C3" s="32">
        <v>8</v>
      </c>
      <c r="D3" s="32">
        <v>9</v>
      </c>
      <c r="E3" s="17">
        <v>1</v>
      </c>
      <c r="F3" s="29">
        <f t="shared" ref="F3:F14" si="0">AVERAGE(C3,D3)</f>
        <v>8.5</v>
      </c>
      <c r="G3" s="7">
        <f t="shared" ref="G3:G14" si="1">(F3/(0.05*E3))*0.2</f>
        <v>34</v>
      </c>
      <c r="H3" s="53">
        <f>TTEST(G3:G5,G3:G5,2,2)</f>
        <v>1</v>
      </c>
      <c r="I3" s="14"/>
      <c r="J3" s="9" t="s">
        <v>30</v>
      </c>
      <c r="K3" s="7">
        <f>AVERAGE(G3:G5)</f>
        <v>26.666666666666668</v>
      </c>
      <c r="L3" s="7">
        <f>STDEV(G3:G5)</f>
        <v>6.4291005073286307</v>
      </c>
      <c r="M3" s="55">
        <v>9.691011235955056</v>
      </c>
      <c r="N3" s="21">
        <f>TTEST(G2:G4,G5:G7,2,2)</f>
        <v>0.88818650754573358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1"/>
      <c r="B4" s="10" t="s">
        <v>41</v>
      </c>
      <c r="C4" s="32">
        <v>3</v>
      </c>
      <c r="D4" s="32">
        <v>9</v>
      </c>
      <c r="E4" s="17">
        <v>1</v>
      </c>
      <c r="F4" s="29">
        <f t="shared" si="0"/>
        <v>6</v>
      </c>
      <c r="G4" s="7">
        <f t="shared" si="1"/>
        <v>24</v>
      </c>
      <c r="H4" s="53"/>
      <c r="J4" s="47" t="s">
        <v>102</v>
      </c>
      <c r="K4" s="7">
        <f>AVERAGE(G6:G8)</f>
        <v>27.333333333333332</v>
      </c>
      <c r="L4" s="7">
        <f>STDEV(G6:G8)</f>
        <v>11.718930554164627</v>
      </c>
      <c r="M4" s="55">
        <v>9.691011235955056</v>
      </c>
      <c r="N4" s="21">
        <f>TTEST(G3:G5,G6:G8,2,2)</f>
        <v>0.93531040207417171</v>
      </c>
      <c r="O4" s="13">
        <f>IF(K4/$K$3&gt;=1,K4/$K$3,-$K$3/K4)</f>
        <v>1.0249999999999999</v>
      </c>
    </row>
    <row r="5" spans="1:25" x14ac:dyDescent="0.35">
      <c r="A5" s="51"/>
      <c r="B5" s="10" t="s">
        <v>64</v>
      </c>
      <c r="C5" s="32">
        <v>7</v>
      </c>
      <c r="D5" s="32">
        <v>4</v>
      </c>
      <c r="E5" s="17">
        <v>1</v>
      </c>
      <c r="F5" s="29">
        <f t="shared" si="0"/>
        <v>5.5</v>
      </c>
      <c r="G5" s="7">
        <f t="shared" si="1"/>
        <v>22</v>
      </c>
      <c r="H5" s="53"/>
      <c r="J5" s="9" t="s">
        <v>104</v>
      </c>
      <c r="K5" s="7">
        <f>AVERAGE(G10:G11)</f>
        <v>76</v>
      </c>
      <c r="L5" s="7">
        <f>STDEV(G10:G11)</f>
        <v>16.970562748477139</v>
      </c>
      <c r="M5" s="55">
        <v>5.4775280898876408</v>
      </c>
      <c r="N5" s="21">
        <f>TTEST(G3:G5,G10:G11,2,2)</f>
        <v>1.6618325901580275E-2</v>
      </c>
      <c r="O5" s="13">
        <f>IF(K5/$K$3&gt;=1,K5/$K$3,-$K$3/K5)</f>
        <v>2.85</v>
      </c>
    </row>
    <row r="6" spans="1:25" ht="15" customHeight="1" x14ac:dyDescent="0.35">
      <c r="A6" s="49" t="s">
        <v>102</v>
      </c>
      <c r="B6" s="10" t="s">
        <v>42</v>
      </c>
      <c r="C6" s="32">
        <v>10</v>
      </c>
      <c r="D6" s="32">
        <v>8</v>
      </c>
      <c r="E6" s="17">
        <v>1</v>
      </c>
      <c r="F6" s="1">
        <f t="shared" si="0"/>
        <v>9</v>
      </c>
      <c r="G6" s="7">
        <f t="shared" si="1"/>
        <v>36</v>
      </c>
      <c r="H6" s="53">
        <f>TTEST(G6:G8,G3:G5,2,2)</f>
        <v>0.93531040207417171</v>
      </c>
      <c r="J6" s="9" t="s">
        <v>75</v>
      </c>
      <c r="K6" s="7">
        <f>AVERAGE(G12:G14)</f>
        <v>62.666666666666664</v>
      </c>
      <c r="L6" s="7">
        <f>STDEV(G12:G14)</f>
        <v>25.006665778014728</v>
      </c>
      <c r="M6" s="55">
        <v>5.7584269662921352</v>
      </c>
      <c r="N6" s="21">
        <f>TTEST(G3:G5,G12:G14,2,2)</f>
        <v>7.3161397243922788E-2</v>
      </c>
      <c r="O6" s="13">
        <f>IF(K6/$K$3&gt;=1,K6/$K$3,-$K$3/K6)</f>
        <v>2.3499999999999996</v>
      </c>
    </row>
    <row r="7" spans="1:25" ht="15" customHeight="1" x14ac:dyDescent="0.35">
      <c r="A7" s="49"/>
      <c r="B7" s="10" t="s">
        <v>43</v>
      </c>
      <c r="C7" s="32">
        <v>7</v>
      </c>
      <c r="D7" s="32">
        <v>9</v>
      </c>
      <c r="E7" s="17">
        <v>1</v>
      </c>
      <c r="F7" s="1">
        <f t="shared" si="0"/>
        <v>8</v>
      </c>
      <c r="G7" s="7">
        <f t="shared" si="1"/>
        <v>32</v>
      </c>
      <c r="H7" s="53"/>
    </row>
    <row r="8" spans="1:25" x14ac:dyDescent="0.35">
      <c r="A8" s="49"/>
      <c r="B8" s="10" t="s">
        <v>67</v>
      </c>
      <c r="C8" s="32">
        <v>5</v>
      </c>
      <c r="D8" s="32">
        <v>2</v>
      </c>
      <c r="E8" s="17">
        <v>1</v>
      </c>
      <c r="F8" s="1">
        <f t="shared" si="0"/>
        <v>3.5</v>
      </c>
      <c r="G8" s="7">
        <f t="shared" si="1"/>
        <v>14</v>
      </c>
      <c r="H8" s="53"/>
    </row>
    <row r="9" spans="1:25" ht="15" customHeight="1" x14ac:dyDescent="0.35">
      <c r="A9" s="49" t="s">
        <v>104</v>
      </c>
      <c r="B9" s="10" t="s">
        <v>44</v>
      </c>
      <c r="C9" s="32">
        <v>15</v>
      </c>
      <c r="D9" s="32">
        <v>20</v>
      </c>
      <c r="E9" s="17">
        <v>1</v>
      </c>
      <c r="F9" s="1">
        <f t="shared" si="0"/>
        <v>17.5</v>
      </c>
      <c r="G9" s="7">
        <f t="shared" si="1"/>
        <v>70</v>
      </c>
      <c r="H9" s="53">
        <f>TTEST(G9:G11,G3:G5,2,2)</f>
        <v>4.2961824841484921E-3</v>
      </c>
      <c r="J9" s="14"/>
    </row>
    <row r="10" spans="1:25" x14ac:dyDescent="0.35">
      <c r="A10" s="49"/>
      <c r="B10" s="10" t="s">
        <v>45</v>
      </c>
      <c r="C10" s="32">
        <v>9</v>
      </c>
      <c r="D10" s="32">
        <v>23</v>
      </c>
      <c r="E10" s="17">
        <v>1</v>
      </c>
      <c r="F10" s="1">
        <f t="shared" si="0"/>
        <v>16</v>
      </c>
      <c r="G10" s="7">
        <f t="shared" si="1"/>
        <v>64</v>
      </c>
      <c r="H10" s="53"/>
    </row>
    <row r="11" spans="1:25" ht="15" customHeight="1" x14ac:dyDescent="0.35">
      <c r="A11" s="49"/>
      <c r="B11" s="10" t="s">
        <v>65</v>
      </c>
      <c r="C11" s="32">
        <v>13</v>
      </c>
      <c r="D11" s="32">
        <v>31</v>
      </c>
      <c r="E11" s="17">
        <v>1</v>
      </c>
      <c r="F11" s="1">
        <f t="shared" si="0"/>
        <v>22</v>
      </c>
      <c r="G11" s="7">
        <f t="shared" si="1"/>
        <v>88</v>
      </c>
      <c r="H11" s="53"/>
    </row>
    <row r="12" spans="1:25" x14ac:dyDescent="0.35">
      <c r="A12" s="49" t="s">
        <v>79</v>
      </c>
      <c r="B12" s="10" t="s">
        <v>46</v>
      </c>
      <c r="C12" s="32">
        <v>19</v>
      </c>
      <c r="D12" s="32">
        <v>12</v>
      </c>
      <c r="E12" s="17">
        <v>1</v>
      </c>
      <c r="F12" s="1">
        <f t="shared" si="0"/>
        <v>15.5</v>
      </c>
      <c r="G12" s="7">
        <f t="shared" si="1"/>
        <v>62</v>
      </c>
      <c r="H12" s="53">
        <f>TTEST(G12:G14,G3:G5,2,2)</f>
        <v>7.3161397243922788E-2</v>
      </c>
    </row>
    <row r="13" spans="1:25" ht="15" customHeight="1" x14ac:dyDescent="0.35">
      <c r="A13" s="49"/>
      <c r="B13" s="10" t="s">
        <v>47</v>
      </c>
      <c r="C13" s="32">
        <v>28</v>
      </c>
      <c r="D13" s="32">
        <v>16</v>
      </c>
      <c r="E13" s="17">
        <v>1</v>
      </c>
      <c r="F13" s="1">
        <f t="shared" si="0"/>
        <v>22</v>
      </c>
      <c r="G13" s="7">
        <f>(F13/(0.05*E13))*0.2</f>
        <v>88</v>
      </c>
      <c r="H13" s="53"/>
    </row>
    <row r="14" spans="1:25" x14ac:dyDescent="0.35">
      <c r="A14" s="49"/>
      <c r="B14" s="10" t="s">
        <v>66</v>
      </c>
      <c r="C14" s="32">
        <v>6</v>
      </c>
      <c r="D14" s="32">
        <v>13</v>
      </c>
      <c r="E14" s="17">
        <v>1</v>
      </c>
      <c r="F14" s="1">
        <f t="shared" si="0"/>
        <v>9.5</v>
      </c>
      <c r="G14" s="7">
        <f t="shared" si="1"/>
        <v>38</v>
      </c>
      <c r="H14" s="53"/>
    </row>
    <row r="15" spans="1:25" x14ac:dyDescent="0.35">
      <c r="A15" s="33" t="s">
        <v>73</v>
      </c>
      <c r="B15" s="10"/>
      <c r="C15" s="17">
        <v>0</v>
      </c>
      <c r="D15" s="17">
        <v>0</v>
      </c>
      <c r="E15" s="17"/>
      <c r="F15" s="1" t="s">
        <v>40</v>
      </c>
      <c r="G15" s="7" t="s">
        <v>40</v>
      </c>
    </row>
    <row r="16" spans="1:25" x14ac:dyDescent="0.35">
      <c r="A16" s="33" t="s">
        <v>74</v>
      </c>
      <c r="B16" s="10"/>
      <c r="C16" s="17">
        <v>0</v>
      </c>
      <c r="D16" s="17">
        <v>0</v>
      </c>
      <c r="E16" s="17"/>
      <c r="F16" s="1" t="s">
        <v>40</v>
      </c>
      <c r="G16" s="7" t="s">
        <v>40</v>
      </c>
      <c r="H16" s="14"/>
    </row>
    <row r="17" spans="1:8" x14ac:dyDescent="0.35">
      <c r="A17" s="37" t="s">
        <v>57</v>
      </c>
      <c r="H17" s="14"/>
    </row>
    <row r="18" spans="1:8" x14ac:dyDescent="0.35">
      <c r="A18" s="37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2019-03-13T17:50:00Z</cp:lastPrinted>
  <dcterms:created xsi:type="dcterms:W3CDTF">2016-02-15T21:32:37Z</dcterms:created>
  <dcterms:modified xsi:type="dcterms:W3CDTF">2019-07-26T13:24:59Z</dcterms:modified>
</cp:coreProperties>
</file>