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440FF5CA-701D-41E3-9A15-76C9F9B7D48E}" xr6:coauthVersionLast="46" xr6:coauthVersionMax="46" xr10:uidLastSave="{00000000-0000-0000-0000-000000000000}"/>
  <bookViews>
    <workbookView xWindow="-110" yWindow="-110" windowWidth="19420" windowHeight="11020" tabRatio="500" firstSheet="1" activeTab="5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8" r:id="rId5"/>
    <sheet name="2 vs 24" sheetId="7" r:id="rId6"/>
  </sheets>
  <calcPr calcId="191029" concurrentCalc="0"/>
</workbook>
</file>

<file path=xl/calcChain.xml><?xml version="1.0" encoding="utf-8"?>
<calcChain xmlns="http://schemas.openxmlformats.org/spreadsheetml/2006/main">
  <c r="G6" i="7" l="1"/>
  <c r="G5" i="7"/>
  <c r="G4" i="7"/>
  <c r="G3" i="7"/>
  <c r="G2" i="7"/>
  <c r="J3" i="7"/>
  <c r="J4" i="7"/>
  <c r="J5" i="7"/>
  <c r="J6" i="7"/>
  <c r="J2" i="7"/>
  <c r="V7" i="8"/>
  <c r="V6" i="8"/>
  <c r="V4" i="8"/>
  <c r="V3" i="8"/>
  <c r="U3" i="8"/>
  <c r="U5" i="8"/>
  <c r="U6" i="8"/>
  <c r="U7" i="8"/>
  <c r="U4" i="8"/>
  <c r="K6" i="4"/>
  <c r="K4" i="4"/>
  <c r="S7" i="8"/>
  <c r="S6" i="8"/>
  <c r="S5" i="8"/>
  <c r="S4" i="8"/>
  <c r="T4" i="8"/>
  <c r="T5" i="8"/>
  <c r="T6" i="8"/>
  <c r="T7" i="8"/>
  <c r="T3" i="8"/>
  <c r="O3" i="4"/>
  <c r="P4" i="8"/>
  <c r="Q7" i="8"/>
  <c r="Q6" i="8"/>
  <c r="Q5" i="8"/>
  <c r="Q4" i="8"/>
  <c r="Q3" i="8"/>
  <c r="P7" i="8"/>
  <c r="P6" i="8"/>
  <c r="P5" i="8"/>
  <c r="P3" i="8"/>
  <c r="M9" i="8"/>
  <c r="L16" i="8"/>
  <c r="L17" i="8"/>
  <c r="L15" i="8"/>
  <c r="L13" i="8"/>
  <c r="L14" i="8"/>
  <c r="L12" i="8"/>
  <c r="L11" i="8"/>
  <c r="L10" i="8"/>
  <c r="L9" i="8"/>
  <c r="L7" i="8"/>
  <c r="L8" i="8"/>
  <c r="L6" i="8"/>
  <c r="L4" i="8"/>
  <c r="L5" i="8"/>
  <c r="K7" i="8"/>
  <c r="K8" i="8"/>
  <c r="K6" i="8"/>
  <c r="L3" i="8"/>
  <c r="H3" i="2"/>
  <c r="M7" i="2"/>
  <c r="M5" i="2"/>
  <c r="M9" i="2"/>
  <c r="M11" i="2"/>
  <c r="M3" i="2"/>
  <c r="H10" i="2"/>
  <c r="H9" i="2"/>
  <c r="I9" i="2"/>
  <c r="K9" i="2"/>
  <c r="J9" i="2"/>
  <c r="L9" i="2"/>
  <c r="P20" i="1"/>
  <c r="P10" i="1"/>
  <c r="P8" i="1"/>
  <c r="F6" i="7"/>
  <c r="F2" i="7"/>
  <c r="F3" i="7"/>
  <c r="F4" i="7"/>
  <c r="F5" i="7"/>
  <c r="M16" i="8"/>
  <c r="M17" i="8"/>
  <c r="M15" i="8"/>
  <c r="M14" i="8"/>
  <c r="M13" i="8"/>
  <c r="M12" i="8"/>
  <c r="F12" i="4"/>
  <c r="G12" i="4"/>
  <c r="F13" i="4"/>
  <c r="G13" i="4"/>
  <c r="F14" i="4"/>
  <c r="G14" i="4"/>
  <c r="F15" i="4"/>
  <c r="G15" i="4"/>
  <c r="F16" i="4"/>
  <c r="G16" i="4"/>
  <c r="F17" i="4"/>
  <c r="G17" i="4"/>
  <c r="K7" i="4"/>
  <c r="F3" i="4"/>
  <c r="G3" i="4"/>
  <c r="K3" i="4"/>
  <c r="O7" i="4"/>
  <c r="F6" i="4"/>
  <c r="G6" i="4"/>
  <c r="L4" i="4"/>
  <c r="F9" i="4"/>
  <c r="G9" i="4"/>
  <c r="L5" i="4"/>
  <c r="L7" i="4"/>
  <c r="L6" i="4"/>
  <c r="C7" i="5"/>
  <c r="B7" i="5"/>
  <c r="M11" i="8"/>
  <c r="M10" i="8"/>
  <c r="M8" i="8"/>
  <c r="H7" i="2"/>
  <c r="H8" i="2"/>
  <c r="I7" i="2"/>
  <c r="K7" i="2"/>
  <c r="H11" i="2"/>
  <c r="H12" i="2"/>
  <c r="I11" i="2"/>
  <c r="K11" i="2"/>
  <c r="H5" i="2"/>
  <c r="H6" i="2"/>
  <c r="I5" i="2"/>
  <c r="K5" i="2"/>
  <c r="H4" i="2"/>
  <c r="I3" i="2"/>
  <c r="K3" i="2"/>
  <c r="H20" i="8"/>
  <c r="I20" i="8"/>
  <c r="D20" i="8"/>
  <c r="E20" i="8"/>
  <c r="L19" i="8"/>
  <c r="M19" i="8"/>
  <c r="M18" i="8"/>
  <c r="M7" i="8"/>
  <c r="M6" i="8"/>
  <c r="M5" i="8"/>
  <c r="M4" i="8"/>
  <c r="M3" i="8"/>
  <c r="J11" i="2"/>
  <c r="C6" i="5"/>
  <c r="C8" i="5"/>
  <c r="B8" i="5"/>
  <c r="Q8" i="1"/>
  <c r="Q24" i="1"/>
  <c r="Q10" i="1"/>
  <c r="Q18" i="1"/>
  <c r="Q20" i="1"/>
  <c r="Q22" i="1"/>
  <c r="Q4" i="1"/>
  <c r="B9" i="5"/>
  <c r="F4" i="4"/>
  <c r="G4" i="4"/>
  <c r="F5" i="4"/>
  <c r="G5" i="4"/>
  <c r="F7" i="4"/>
  <c r="G7" i="4"/>
  <c r="F8" i="4"/>
  <c r="G8" i="4"/>
  <c r="J3" i="2"/>
  <c r="L3" i="2"/>
  <c r="P4" i="1"/>
  <c r="F10" i="4"/>
  <c r="G10" i="4"/>
  <c r="F11" i="4"/>
  <c r="G11" i="4"/>
  <c r="D13" i="2"/>
  <c r="E13" i="2"/>
  <c r="F13" i="2"/>
  <c r="N5" i="4"/>
  <c r="H15" i="4"/>
  <c r="P18" i="1"/>
  <c r="P22" i="1"/>
  <c r="P23" i="1"/>
  <c r="P24" i="1"/>
  <c r="N4" i="4"/>
  <c r="J5" i="2"/>
  <c r="L5" i="2"/>
  <c r="J7" i="2"/>
  <c r="L7" i="2"/>
  <c r="K5" i="4"/>
  <c r="H6" i="4"/>
  <c r="H3" i="4"/>
  <c r="H9" i="4"/>
  <c r="L3" i="4"/>
  <c r="L11" i="2"/>
  <c r="O6" i="4"/>
  <c r="O5" i="4"/>
  <c r="O4" i="4"/>
  <c r="N7" i="4"/>
  <c r="N6" i="4"/>
</calcChain>
</file>

<file path=xl/sharedStrings.xml><?xml version="1.0" encoding="utf-8"?>
<sst xmlns="http://schemas.openxmlformats.org/spreadsheetml/2006/main" count="276" uniqueCount="116">
  <si>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</si>
  <si>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</si>
  <si>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</si>
  <si>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</si>
  <si>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</si>
  <si>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</si>
  <si>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</si>
  <si>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</si>
  <si>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</si>
  <si>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</si>
  <si>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</si>
  <si>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</si>
  <si>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</si>
  <si>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</si>
  <si>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</si>
  <si>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</si>
  <si>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</si>
  <si>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</si>
  <si>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</si>
  <si>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</si>
  <si>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</si>
  <si>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</si>
  <si>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</si>
  <si>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</si>
  <si>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</si>
  <si>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</si>
  <si>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</si>
  <si>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</si>
  <si>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</si>
  <si>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</si>
  <si>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</si>
  <si>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</si>
  <si>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</si>
  <si>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</si>
  <si>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</si>
  <si>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</si>
  <si>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</si>
  <si>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</si>
  <si>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</si>
  <si>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</si>
  <si>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</si>
  <si>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</si>
  <si>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</si>
  <si>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</si>
  <si>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</si>
  <si>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</si>
  <si>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</si>
  <si>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</si>
  <si>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</si>
  <si>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</si>
  <si>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</si>
  <si>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</si>
  <si>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</si>
  <si>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</si>
  <si>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</si>
  <si>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</si>
  <si>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</si>
  <si>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</si>
  <si>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</si>
  <si>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</si>
  <si>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</si>
  <si>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</si>
  <si>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</si>
  <si>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</si>
  <si>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</si>
  <si>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</si>
  <si>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</si>
  <si>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</si>
  <si>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</si>
  <si>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</si>
  <si>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</si>
  <si>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</si>
  <si>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</si>
  <si>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</si>
  <si>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</si>
  <si>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</si>
  <si>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</si>
  <si>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</si>
  <si>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</si>
  <si>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</si>
  <si>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</si>
  <si>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</si>
  <si>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</si>
  <si>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</si>
  <si>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</si>
  <si>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</si>
  <si>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</si>
  <si>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</si>
  <si>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</si>
  <si>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</si>
  <si>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</si>
  <si>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</si>
  <si>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</si>
  <si>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</si>
  <si>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T=2</t>
  </si>
  <si>
    <t>T=24</t>
  </si>
  <si>
    <t>**hemacytometer count *2 * 10,000</t>
  </si>
  <si>
    <t>Fold change vs 2</t>
  </si>
  <si>
    <t>Generation Times</t>
  </si>
  <si>
    <t>50 ul cells plated for all strains</t>
  </si>
  <si>
    <t>LVS</t>
  </si>
  <si>
    <t>Tn7::rpsU1</t>
  </si>
  <si>
    <t>Tn7::rpsU2</t>
  </si>
  <si>
    <t>Tn7::rpsU3</t>
  </si>
  <si>
    <t>∆pigR</t>
  </si>
  <si>
    <t>5 strains in duplicate</t>
  </si>
  <si>
    <t>3 wells plated in duplicate x 5 strains plus 2 plates for control wells</t>
  </si>
  <si>
    <t>Square: 3 wells plated in duplicate x 4 strains; Round: 2 control wells + control strain 3 wells in duplicate</t>
  </si>
  <si>
    <t>5A</t>
  </si>
  <si>
    <t>5B</t>
  </si>
  <si>
    <t>5C</t>
  </si>
  <si>
    <t>Fold change vs. Tn7::rpsU2</t>
  </si>
  <si>
    <t>T-test vs. LVS</t>
  </si>
  <si>
    <t>Fold Change vs. LVS</t>
  </si>
  <si>
    <t>T-test vs. Tn7::rpsU2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</si>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</sst>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Inoculum!$B$15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Inoculum!$C$16:$C$20</c:f>
                <c:numCache>
                  <c:formatCode>General</c:formatCode>
                  <c:ptCount val="5"/>
                  <c:pt idx="0">
                    <c:v>3535.533905932738</c:v>
                  </c:pt>
                  <c:pt idx="1">
                    <c:v>31819.805153394638</c:v>
                  </c:pt>
                  <c:pt idx="2">
                    <c:v>10606.601717798214</c:v>
                  </c:pt>
                  <c:pt idx="3">
                    <c:v>31819.805153394656</c:v>
                  </c:pt>
                  <c:pt idx="4">
                    <c:v>31819.805153394638</c:v>
                  </c:pt>
                </c:numCache>
              </c:numRef>
            </c:plus>
            <c:minus>
              <c:numRef>
                <c:f>Inoculum!$C$16:$C$20</c:f>
                <c:numCache>
                  <c:formatCode>General</c:formatCode>
                  <c:ptCount val="5"/>
                  <c:pt idx="0">
                    <c:v>3535.533905932738</c:v>
                  </c:pt>
                  <c:pt idx="1">
                    <c:v>31819.805153394638</c:v>
                  </c:pt>
                  <c:pt idx="2">
                    <c:v>10606.601717798214</c:v>
                  </c:pt>
                  <c:pt idx="3">
                    <c:v>31819.805153394656</c:v>
                  </c:pt>
                  <c:pt idx="4">
                    <c:v>31819.805153394638</c:v>
                  </c:pt>
                </c:numCache>
              </c:numRef>
            </c:minus>
          </c:errBars>
          <c:cat>
            <c:strRef>
              <c:f>Inoculum!$A$16:$A$20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Inoculum!$B$16:$B$20</c:f>
              <c:numCache>
                <c:formatCode>0.00E+00</c:formatCode>
                <c:ptCount val="5"/>
                <c:pt idx="0">
                  <c:v>157500</c:v>
                </c:pt>
                <c:pt idx="1">
                  <c:v>217500</c:v>
                </c:pt>
                <c:pt idx="2">
                  <c:v>162500</c:v>
                </c:pt>
                <c:pt idx="3">
                  <c:v>227500</c:v>
                </c:pt>
                <c:pt idx="4">
                  <c:v>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'T=2'!$K$2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'T=2'!$L$3:$L$7</c:f>
                <c:numCache>
                  <c:formatCode>General</c:formatCode>
                  <c:ptCount val="5"/>
                  <c:pt idx="0">
                    <c:v>123.61769021193258</c:v>
                  </c:pt>
                  <c:pt idx="1">
                    <c:v>9.4516312525052015</c:v>
                  </c:pt>
                  <c:pt idx="2">
                    <c:v>15.874507866387544</c:v>
                  </c:pt>
                  <c:pt idx="3">
                    <c:v>45.738386504117088</c:v>
                  </c:pt>
                  <c:pt idx="4">
                    <c:v>17.320508075688775</c:v>
                  </c:pt>
                </c:numCache>
              </c:numRef>
            </c:plus>
            <c:minus>
              <c:numRef>
                <c:f>'T=2'!$L$3:$L$7</c:f>
                <c:numCache>
                  <c:formatCode>General</c:formatCode>
                  <c:ptCount val="5"/>
                  <c:pt idx="0">
                    <c:v>123.61769021193258</c:v>
                  </c:pt>
                  <c:pt idx="1">
                    <c:v>9.4516312525052015</c:v>
                  </c:pt>
                  <c:pt idx="2">
                    <c:v>15.874507866387544</c:v>
                  </c:pt>
                  <c:pt idx="3">
                    <c:v>45.738386504117088</c:v>
                  </c:pt>
                  <c:pt idx="4">
                    <c:v>17.320508075688775</c:v>
                  </c:pt>
                </c:numCache>
              </c:numRef>
            </c:minus>
          </c:errBars>
          <c:cat>
            <c:strRef>
              <c:f>'T=2'!$J$3:$J$7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'T=2'!$K$3:$K$7</c:f>
              <c:numCache>
                <c:formatCode>0.00E+00</c:formatCode>
                <c:ptCount val="5"/>
                <c:pt idx="0">
                  <c:v>127.33333333333333</c:v>
                </c:pt>
                <c:pt idx="1">
                  <c:v>62.666666666666664</c:v>
                </c:pt>
                <c:pt idx="2">
                  <c:v>74</c:v>
                </c:pt>
                <c:pt idx="3">
                  <c:v>98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 (2hr)</a:t>
                </a:r>
              </a:p>
            </c:rich>
          </c:tx>
          <c:layout>
            <c:manualLayout>
              <c:xMode val="edge"/>
              <c:yMode val="edge"/>
              <c:x val="1.0266893597920211E-2"/>
              <c:y val="0.2789350393700788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'T=24'!$Q$3:$Q$7</c:f>
                <c:numCache>
                  <c:formatCode>General</c:formatCode>
                  <c:ptCount val="5"/>
                  <c:pt idx="0">
                    <c:v>17058.722109231981</c:v>
                  </c:pt>
                  <c:pt idx="1">
                    <c:v>2773.0849247724095</c:v>
                  </c:pt>
                  <c:pt idx="2">
                    <c:v>48590.122453025368</c:v>
                  </c:pt>
                  <c:pt idx="3">
                    <c:v>12552.423404798508</c:v>
                  </c:pt>
                  <c:pt idx="4">
                    <c:v>5.0332229568471671</c:v>
                  </c:pt>
                </c:numCache>
              </c:numRef>
            </c:plus>
            <c:minus>
              <c:numRef>
                <c:f>'T=24'!$Q$3:$Q$7</c:f>
                <c:numCache>
                  <c:formatCode>General</c:formatCode>
                  <c:ptCount val="5"/>
                  <c:pt idx="0">
                    <c:v>17058.722109231981</c:v>
                  </c:pt>
                  <c:pt idx="1">
                    <c:v>2773.0849247724095</c:v>
                  </c:pt>
                  <c:pt idx="2">
                    <c:v>48590.122453025368</c:v>
                  </c:pt>
                  <c:pt idx="3">
                    <c:v>12552.423404798508</c:v>
                  </c:pt>
                  <c:pt idx="4">
                    <c:v>5.0332229568471671</c:v>
                  </c:pt>
                </c:numCache>
              </c:numRef>
            </c:minus>
          </c:errBars>
          <c:cat>
            <c:strRef>
              <c:f>'T=24'!$O$3:$O$7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'T=24'!$P$3:$P$7</c:f>
              <c:numCache>
                <c:formatCode>0.00E+00</c:formatCode>
                <c:ptCount val="5"/>
                <c:pt idx="0">
                  <c:v>51000</c:v>
                </c:pt>
                <c:pt idx="1">
                  <c:v>17400</c:v>
                </c:pt>
                <c:pt idx="2">
                  <c:v>55000</c:v>
                </c:pt>
                <c:pt idx="3">
                  <c:v>21566.666666666668</c:v>
                </c:pt>
                <c:pt idx="4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E-4C34-A761-4C68E754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24'!$C$2:$C$5</c:f>
                <c:numCache>
                  <c:formatCode>General</c:formatCode>
                  <c:ptCount val="4"/>
                  <c:pt idx="0">
                    <c:v>123.61769021193258</c:v>
                  </c:pt>
                  <c:pt idx="1">
                    <c:v>9.4516312525052015</c:v>
                  </c:pt>
                  <c:pt idx="2">
                    <c:v>15.874507866387544</c:v>
                  </c:pt>
                  <c:pt idx="3">
                    <c:v>45.738386504117088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24'!$A$2:$A$6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'2 vs 24'!$B$2:$B$6</c:f>
              <c:numCache>
                <c:formatCode>0.00E+00</c:formatCode>
                <c:ptCount val="5"/>
                <c:pt idx="0">
                  <c:v>127.33333333333333</c:v>
                </c:pt>
                <c:pt idx="1">
                  <c:v>62.666666666666664</c:v>
                </c:pt>
                <c:pt idx="2">
                  <c:v>74</c:v>
                </c:pt>
                <c:pt idx="3">
                  <c:v>98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24'!$E$2:$E$5</c:f>
                <c:numCache>
                  <c:formatCode>General</c:formatCode>
                  <c:ptCount val="4"/>
                  <c:pt idx="0">
                    <c:v>17058.722109231981</c:v>
                  </c:pt>
                  <c:pt idx="1">
                    <c:v>2773.0849247724095</c:v>
                  </c:pt>
                  <c:pt idx="2">
                    <c:v>48590.122453025368</c:v>
                  </c:pt>
                  <c:pt idx="3">
                    <c:v>12552.423404798508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24'!$A$2:$A$6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'2 vs 24'!$D$2:$D$6</c:f>
              <c:numCache>
                <c:formatCode>0.00E+00</c:formatCode>
                <c:ptCount val="5"/>
                <c:pt idx="0">
                  <c:v>51000</c:v>
                </c:pt>
                <c:pt idx="1">
                  <c:v>17400</c:v>
                </c:pt>
                <c:pt idx="2">
                  <c:v>55000</c:v>
                </c:pt>
                <c:pt idx="3">
                  <c:v>21566.666666666668</c:v>
                </c:pt>
                <c:pt idx="4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</a:t>
            </a:r>
          </a:p>
          <a:p>
            <a:pPr>
              <a:defRPr/>
            </a:pPr>
            <a:r>
              <a:rPr lang="en-US"/>
              <a:t>2</a:t>
            </a:r>
            <a:r>
              <a:rPr lang="en-US" baseline="0"/>
              <a:t> hrs to 24 hrs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24'!$F$1</c:f>
              <c:strCache>
                <c:ptCount val="1"/>
                <c:pt idx="0">
                  <c:v>Fold change vs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'2 vs 24'!$G$2:$G$6</c:f>
                <c:numCache>
                  <c:formatCode>General</c:formatCode>
                  <c:ptCount val="5"/>
                  <c:pt idx="0">
                    <c:v>411.26781477155782</c:v>
                  </c:pt>
                  <c:pt idx="1">
                    <c:v>60.925563213115851</c:v>
                  </c:pt>
                  <c:pt idx="2">
                    <c:v>675.70370897169414</c:v>
                  </c:pt>
                  <c:pt idx="3">
                    <c:v>164.1807120081335</c:v>
                  </c:pt>
                  <c:pt idx="4">
                    <c:v>7.6666572096970476E-2</c:v>
                  </c:pt>
                </c:numCache>
              </c:numRef>
            </c:plus>
            <c:minus>
              <c:numRef>
                <c:f>'2 vs 24'!$G$2:$G$6</c:f>
                <c:numCache>
                  <c:formatCode>General</c:formatCode>
                  <c:ptCount val="5"/>
                  <c:pt idx="0">
                    <c:v>411.26781477155782</c:v>
                  </c:pt>
                  <c:pt idx="1">
                    <c:v>60.925563213115851</c:v>
                  </c:pt>
                  <c:pt idx="2">
                    <c:v>675.70370897169414</c:v>
                  </c:pt>
                  <c:pt idx="3">
                    <c:v>164.1807120081335</c:v>
                  </c:pt>
                  <c:pt idx="4">
                    <c:v>7.6666572096970476E-2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 vs 24'!$A$2:$A$6</c:f>
              <c:strCache>
                <c:ptCount val="5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  <c:pt idx="4">
                  <c:v>∆pigR</c:v>
                </c:pt>
              </c:strCache>
            </c:strRef>
          </c:cat>
          <c:val>
            <c:numRef>
              <c:f>'2 vs 24'!$F$2:$F$6</c:f>
              <c:numCache>
                <c:formatCode>General</c:formatCode>
                <c:ptCount val="5"/>
                <c:pt idx="0">
                  <c:v>400.52356020942409</c:v>
                </c:pt>
                <c:pt idx="1">
                  <c:v>277.65957446808511</c:v>
                </c:pt>
                <c:pt idx="2">
                  <c:v>743.24324324324323</c:v>
                </c:pt>
                <c:pt idx="3">
                  <c:v>220.06802721088437</c:v>
                </c:pt>
                <c:pt idx="4">
                  <c:v>7.8431372549019607E-2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7-4615-B0E0-E3657A3D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530032"/>
        <c:axId val="1276528784"/>
      </c:barChart>
      <c:catAx>
        <c:axId val="127653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528784"/>
        <c:crosses val="autoZero"/>
        <c:auto val="1"/>
        <c:lblAlgn val="ctr"/>
        <c:lblOffset val="100"/>
        <c:noMultiLvlLbl val="0"/>
      </c:catAx>
      <c:valAx>
        <c:axId val="1276528784"/>
        <c:scaling>
          <c:logBase val="10"/>
          <c:orientation val="minMax"/>
          <c:max val="15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53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24'!$J$1</c:f>
              <c:strCache>
                <c:ptCount val="1"/>
                <c:pt idx="0">
                  <c:v>Generation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'2 vs 24'!$J$2:$J$5</c:f>
              <c:numCache>
                <c:formatCode>0.00E+00</c:formatCode>
                <c:ptCount val="4"/>
                <c:pt idx="0">
                  <c:v>153.69080389648047</c:v>
                </c:pt>
                <c:pt idx="1">
                  <c:v>163.6987634944303</c:v>
                </c:pt>
                <c:pt idx="2">
                  <c:v>139.31792182680582</c:v>
                </c:pt>
                <c:pt idx="3">
                  <c:v>170.75358614278059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8-450B-A297-D7D6277E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1216832"/>
        <c:axId val="1114210592"/>
      </c:barChart>
      <c:catAx>
        <c:axId val="127121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210592"/>
        <c:crosses val="autoZero"/>
        <c:auto val="1"/>
        <c:lblAlgn val="ctr"/>
        <c:lblOffset val="100"/>
        <c:noMultiLvlLbl val="0"/>
      </c:catAx>
      <c:valAx>
        <c:axId val="111421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21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14</xdr:row>
      <xdr:rowOff>25400</xdr:rowOff>
    </xdr:from>
    <xdr:to>
      <xdr:col>10</xdr:col>
      <xdr:colOff>527050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9</xdr:row>
      <xdr:rowOff>82550</xdr:rowOff>
    </xdr:from>
    <xdr:to>
      <xdr:col>15</xdr:col>
      <xdr:colOff>450850</xdr:colOff>
      <xdr:row>27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1047750</xdr:colOff>
      <xdr:row>7</xdr:row>
      <xdr:rowOff>133350</xdr:rowOff>
    </xdr:from>
    <xdr:to>
      <xdr:col>22</xdr:col>
      <xdr:colOff>654050</xdr:colOff>
      <xdr:row>27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71C0F-B610-4B0C-8F3C-EAA7B387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44450</xdr:rowOff>
    </xdr:from>
    <xdr:to>
      <xdr:col>8</xdr:col>
      <xdr:colOff>469900</xdr:colOff>
      <xdr:row>24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730250</xdr:colOff>
      <xdr:row>8</xdr:row>
      <xdr:rowOff>114300</xdr:rowOff>
    </xdr:from>
    <xdr:to>
      <xdr:col>15</xdr:col>
      <xdr:colOff>31750</xdr:colOff>
      <xdr:row>26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02AE6D-0180-4B1F-AFCC-C7416A817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304800</xdr:colOff>
      <xdr:row>8</xdr:row>
      <xdr:rowOff>165100</xdr:rowOff>
    </xdr:from>
    <xdr:to>
      <xdr:col>22</xdr:col>
      <xdr:colOff>165100</xdr:colOff>
      <xdr:row>22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335372B-DC03-449A-B360-F7CC31FF5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K1" zoomScale="125" zoomScaleNormal="125" zoomScalePageLayoutView="125" workbookViewId="0">
      <selection activeCell="P9" sqref="P9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1" width="12.33203125" customWidth="1"/>
    <col min="12" max="13" width="4.33203125" customWidth="1"/>
    <col min="14" max="14" width="3.5" customWidth="1"/>
    <col min="15" max="15" width="29.6640625" bestFit="1" customWidth="1"/>
    <col min="16" max="16" width="9.16406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69</v>
      </c>
      <c r="Q1" s="3" t="s">
        <v>70</v>
      </c>
      <c r="R1" s="42" t="s">
        <v>78</v>
      </c>
    </row>
    <row r="2" spans="1:24" x14ac:dyDescent="0.35">
      <c r="A2" s="4" t="s">
        <v>2</v>
      </c>
      <c r="B2" s="9" t="s">
        <v>100</v>
      </c>
      <c r="C2" s="9" t="s">
        <v>100</v>
      </c>
      <c r="D2" s="9" t="s">
        <v>100</v>
      </c>
      <c r="E2" s="6"/>
      <c r="F2" s="40" t="s">
        <v>101</v>
      </c>
      <c r="G2" s="40" t="s">
        <v>101</v>
      </c>
      <c r="H2" s="40" t="s">
        <v>101</v>
      </c>
      <c r="I2" s="5"/>
      <c r="J2" s="6" t="s">
        <v>66</v>
      </c>
      <c r="K2" s="6"/>
      <c r="L2" s="6"/>
      <c r="M2" s="6"/>
      <c r="O2" s="1" t="s">
        <v>86</v>
      </c>
      <c r="P2" s="7">
        <v>25000</v>
      </c>
      <c r="Q2" s="7">
        <v>20000</v>
      </c>
      <c r="R2" t="s">
        <v>89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89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125000</v>
      </c>
      <c r="Q4" s="7">
        <f>Q2/Q3</f>
        <v>100000</v>
      </c>
    </row>
    <row r="5" spans="1:24" x14ac:dyDescent="0.35">
      <c r="A5" s="4" t="s">
        <v>8</v>
      </c>
      <c r="B5" s="40" t="s">
        <v>102</v>
      </c>
      <c r="C5" s="40" t="s">
        <v>102</v>
      </c>
      <c r="D5" s="40" t="s">
        <v>102</v>
      </c>
      <c r="E5" s="40"/>
      <c r="F5" s="40" t="s">
        <v>103</v>
      </c>
      <c r="G5" s="40" t="s">
        <v>103</v>
      </c>
      <c r="H5" s="40" t="s">
        <v>103</v>
      </c>
      <c r="I5" s="9"/>
      <c r="J5" s="6" t="s">
        <v>3</v>
      </c>
      <c r="K5" s="6"/>
      <c r="M5" s="1"/>
      <c r="O5" s="1" t="s">
        <v>9</v>
      </c>
      <c r="P5" s="1">
        <v>8.1999999999999993</v>
      </c>
      <c r="Q5" s="1">
        <v>7</v>
      </c>
      <c r="R5" t="s">
        <v>89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3">
        <v>1640000</v>
      </c>
      <c r="Q6" s="7">
        <v>210000</v>
      </c>
      <c r="R6" t="s">
        <v>96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4">
        <v>0.75</v>
      </c>
      <c r="Q7" s="28">
        <v>3.5</v>
      </c>
      <c r="R7" s="14" t="s">
        <v>87</v>
      </c>
    </row>
    <row r="8" spans="1:24" x14ac:dyDescent="0.35">
      <c r="A8" s="4" t="s">
        <v>14</v>
      </c>
      <c r="B8" s="40" t="s">
        <v>104</v>
      </c>
      <c r="C8" s="40" t="s">
        <v>104</v>
      </c>
      <c r="D8" s="40" t="s">
        <v>104</v>
      </c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4">
        <f>P5-P7</f>
        <v>7.4499999999999993</v>
      </c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3">
        <v>141667</v>
      </c>
      <c r="Q9" s="7">
        <v>92500</v>
      </c>
      <c r="R9" t="s">
        <v>88</v>
      </c>
    </row>
    <row r="10" spans="1:24" x14ac:dyDescent="0.35">
      <c r="H10" s="14"/>
      <c r="O10" s="1" t="s">
        <v>18</v>
      </c>
      <c r="P10" s="43">
        <f>P9*0.2</f>
        <v>28333.4</v>
      </c>
      <c r="Q10" s="7">
        <f>Q9*0.2</f>
        <v>18500</v>
      </c>
    </row>
    <row r="15" spans="1:24" x14ac:dyDescent="0.35">
      <c r="C15" s="15"/>
      <c r="O15" t="s">
        <v>92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69</v>
      </c>
      <c r="Q16" s="3" t="s">
        <v>70</v>
      </c>
      <c r="R16" s="42" t="s">
        <v>78</v>
      </c>
    </row>
    <row r="17" spans="1:18" x14ac:dyDescent="0.35">
      <c r="A17" s="4" t="s">
        <v>2</v>
      </c>
      <c r="B17" s="9" t="s">
        <v>100</v>
      </c>
      <c r="C17" s="9" t="s">
        <v>100</v>
      </c>
      <c r="D17" s="9" t="s">
        <v>100</v>
      </c>
      <c r="E17" s="6"/>
      <c r="F17" s="40" t="s">
        <v>101</v>
      </c>
      <c r="G17" s="40" t="s">
        <v>101</v>
      </c>
      <c r="H17" s="40" t="s">
        <v>101</v>
      </c>
      <c r="I17" s="5"/>
      <c r="J17" s="6" t="s">
        <v>66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89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28333.4</v>
      </c>
      <c r="Q18" s="18">
        <f>Q10</f>
        <v>18500</v>
      </c>
      <c r="R18" t="s">
        <v>90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89</v>
      </c>
    </row>
    <row r="20" spans="1:18" ht="18" customHeight="1" x14ac:dyDescent="0.35">
      <c r="A20" s="4" t="s">
        <v>8</v>
      </c>
      <c r="B20" s="40" t="s">
        <v>102</v>
      </c>
      <c r="C20" s="40" t="s">
        <v>102</v>
      </c>
      <c r="D20" s="40" t="s">
        <v>102</v>
      </c>
      <c r="E20" s="40"/>
      <c r="F20" s="40" t="s">
        <v>103</v>
      </c>
      <c r="G20" s="40" t="s">
        <v>103</v>
      </c>
      <c r="H20" s="40" t="s">
        <v>103</v>
      </c>
      <c r="I20" s="9"/>
      <c r="J20" s="6" t="s">
        <v>3</v>
      </c>
      <c r="K20" s="6"/>
      <c r="M20" s="1"/>
      <c r="O20" s="19" t="s">
        <v>24</v>
      </c>
      <c r="P20" s="18">
        <f>(P18*P17/P19)</f>
        <v>2833340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89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4.8766609294320136E-4</v>
      </c>
      <c r="Q22" s="20">
        <f>Q20/Q21</f>
        <v>3.1841652323580036E-4</v>
      </c>
    </row>
    <row r="23" spans="1:18" x14ac:dyDescent="0.35">
      <c r="A23" s="4" t="s">
        <v>14</v>
      </c>
      <c r="B23" s="40" t="s">
        <v>104</v>
      </c>
      <c r="C23" s="40" t="s">
        <v>104</v>
      </c>
      <c r="D23" s="40" t="s">
        <v>104</v>
      </c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5">
        <f>P22*100</f>
        <v>4.8766609294320133E-2</v>
      </c>
      <c r="Q23" s="21">
        <v>0.03</v>
      </c>
      <c r="R23" t="s">
        <v>91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55">
        <f>P23/100</f>
        <v>4.8766609294320136E-4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100</v>
      </c>
      <c r="P26" t="s">
        <v>0</v>
      </c>
    </row>
    <row r="27" spans="1:18" x14ac:dyDescent="0.35">
      <c r="G27" s="10">
        <v>2</v>
      </c>
      <c r="H27" s="40" t="s">
        <v>101</v>
      </c>
    </row>
    <row r="28" spans="1:18" x14ac:dyDescent="0.35">
      <c r="G28" s="10">
        <v>3</v>
      </c>
      <c r="H28" s="40" t="s">
        <v>102</v>
      </c>
    </row>
    <row r="29" spans="1:18" x14ac:dyDescent="0.35">
      <c r="G29" s="10">
        <v>4</v>
      </c>
      <c r="H29" s="40" t="s">
        <v>103</v>
      </c>
      <c r="R29" s="14"/>
    </row>
    <row r="30" spans="1:18" x14ac:dyDescent="0.35">
      <c r="G30" s="10">
        <v>5</v>
      </c>
      <c r="H30" s="40" t="s">
        <v>104</v>
      </c>
    </row>
  </sheetData>
  <phoneticPr fontId="4" type="noConversion"/>
  <pageMargins left="0.75" right="0.75" top="1" bottom="1" header="0.5" footer="0.5"/>
  <pageSetup scale="53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5" sqref="D15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3" t="s">
        <v>72</v>
      </c>
      <c r="C1" s="63"/>
    </row>
    <row r="2" spans="1:4" x14ac:dyDescent="0.35">
      <c r="A2" s="22" t="s">
        <v>85</v>
      </c>
      <c r="B2" s="23" t="s">
        <v>74</v>
      </c>
      <c r="C2" s="23" t="s">
        <v>75</v>
      </c>
      <c r="D2" s="22" t="s">
        <v>78</v>
      </c>
    </row>
    <row r="3" spans="1:4" x14ac:dyDescent="0.35">
      <c r="A3" s="1" t="s">
        <v>73</v>
      </c>
      <c r="B3" s="17">
        <v>3</v>
      </c>
      <c r="C3" s="37"/>
      <c r="D3" s="1" t="s">
        <v>79</v>
      </c>
    </row>
    <row r="4" spans="1:4" x14ac:dyDescent="0.35">
      <c r="A4" s="1" t="s">
        <v>76</v>
      </c>
      <c r="B4" s="17">
        <v>0</v>
      </c>
      <c r="C4" s="37">
        <v>10</v>
      </c>
      <c r="D4" s="1" t="s">
        <v>105</v>
      </c>
    </row>
    <row r="5" spans="1:4" x14ac:dyDescent="0.35">
      <c r="A5" s="1" t="s">
        <v>77</v>
      </c>
      <c r="B5" s="17">
        <v>32</v>
      </c>
      <c r="C5" s="37">
        <v>0</v>
      </c>
      <c r="D5" s="1" t="s">
        <v>106</v>
      </c>
    </row>
    <row r="6" spans="1:4" ht="31" x14ac:dyDescent="0.35">
      <c r="A6" s="1" t="s">
        <v>80</v>
      </c>
      <c r="B6">
        <v>8</v>
      </c>
      <c r="C6" s="17">
        <f>3*4*2</f>
        <v>24</v>
      </c>
      <c r="D6" s="19" t="s">
        <v>107</v>
      </c>
    </row>
    <row r="7" spans="1:4" x14ac:dyDescent="0.35">
      <c r="A7" s="22" t="s">
        <v>81</v>
      </c>
      <c r="B7" s="32">
        <f>SUM(B3:B6)</f>
        <v>43</v>
      </c>
      <c r="C7" s="39">
        <f>SUM(C3:C6)</f>
        <v>34</v>
      </c>
      <c r="D7" s="1"/>
    </row>
    <row r="8" spans="1:4" x14ac:dyDescent="0.35">
      <c r="A8" s="1" t="s">
        <v>82</v>
      </c>
      <c r="B8" s="17">
        <f>B7/25</f>
        <v>1.72</v>
      </c>
      <c r="C8" s="37">
        <f>C7/20</f>
        <v>1.7</v>
      </c>
      <c r="D8" s="1" t="s">
        <v>84</v>
      </c>
    </row>
    <row r="9" spans="1:4" x14ac:dyDescent="0.35">
      <c r="A9" s="22" t="s">
        <v>83</v>
      </c>
      <c r="B9" s="32">
        <f>SUM(B8:C8)</f>
        <v>3.42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Ruler="0" workbookViewId="0">
      <selection activeCell="M11" activeCellId="4" sqref="M3 M5 M7 M9 M11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68"/>
      <c r="D1" s="68"/>
      <c r="E1" s="68"/>
      <c r="F1" s="68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93</v>
      </c>
      <c r="M2" s="16" t="s">
        <v>71</v>
      </c>
    </row>
    <row r="3" spans="1:13" x14ac:dyDescent="0.35">
      <c r="A3" s="66" t="s">
        <v>100</v>
      </c>
      <c r="B3" s="27" t="s">
        <v>36</v>
      </c>
      <c r="C3" s="17"/>
      <c r="D3" s="17"/>
      <c r="E3" s="17"/>
      <c r="F3" s="17">
        <v>31</v>
      </c>
      <c r="G3" s="48">
        <v>1E-3</v>
      </c>
      <c r="H3" s="49">
        <f>F3/(G3*0.01)</f>
        <v>3099999.9999999995</v>
      </c>
      <c r="I3" s="7">
        <f>AVERAGE(H3:H4)</f>
        <v>3149999.9999999995</v>
      </c>
      <c r="J3" s="7">
        <f>STDEV(H3:H4)</f>
        <v>70710.67811865476</v>
      </c>
      <c r="K3" s="7">
        <f>I3*0.05</f>
        <v>157500</v>
      </c>
      <c r="L3" s="7">
        <f>J3*0.05</f>
        <v>3535.533905932738</v>
      </c>
      <c r="M3" s="46">
        <f>K3/28300</f>
        <v>5.5653710247349819</v>
      </c>
    </row>
    <row r="4" spans="1:13" x14ac:dyDescent="0.35">
      <c r="A4" s="67"/>
      <c r="B4" s="27" t="s">
        <v>38</v>
      </c>
      <c r="C4" s="17"/>
      <c r="D4" s="17"/>
      <c r="E4" s="17"/>
      <c r="F4" s="17">
        <v>32</v>
      </c>
      <c r="G4" s="48">
        <v>1E-3</v>
      </c>
      <c r="H4" s="49">
        <f>F4/(G4*0.01)</f>
        <v>3199999.9999999995</v>
      </c>
      <c r="I4" s="29"/>
      <c r="J4" s="29"/>
      <c r="K4" s="7"/>
      <c r="L4" s="7"/>
      <c r="M4" s="46"/>
    </row>
    <row r="5" spans="1:13" x14ac:dyDescent="0.35">
      <c r="A5" s="64" t="s">
        <v>101</v>
      </c>
      <c r="B5" s="27" t="s">
        <v>39</v>
      </c>
      <c r="C5" s="17"/>
      <c r="D5" s="17"/>
      <c r="E5" s="17"/>
      <c r="F5" s="17">
        <v>48</v>
      </c>
      <c r="G5" s="48">
        <v>1E-3</v>
      </c>
      <c r="H5" s="49">
        <f t="shared" ref="H5:H12" si="0">F5/(G5*0.01)</f>
        <v>4800000</v>
      </c>
      <c r="I5" s="7">
        <f>AVERAGE(H5:H6)</f>
        <v>4350000</v>
      </c>
      <c r="J5" s="7">
        <f>STDEV(H5:H6)</f>
        <v>636396.10306789272</v>
      </c>
      <c r="K5" s="7">
        <f>I5*0.05</f>
        <v>217500</v>
      </c>
      <c r="L5" s="7">
        <f>J5*0.05</f>
        <v>31819.805153394638</v>
      </c>
      <c r="M5" s="46">
        <f t="shared" ref="M5:M11" si="1">K5/28300</f>
        <v>7.6855123674911665</v>
      </c>
    </row>
    <row r="6" spans="1:13" x14ac:dyDescent="0.35">
      <c r="A6" s="65"/>
      <c r="B6" s="27" t="s">
        <v>40</v>
      </c>
      <c r="C6" s="17"/>
      <c r="D6" s="17"/>
      <c r="E6" s="17"/>
      <c r="F6" s="17">
        <v>39</v>
      </c>
      <c r="G6" s="48">
        <v>1E-3</v>
      </c>
      <c r="H6" s="49">
        <f t="shared" si="0"/>
        <v>3899999.9999999995</v>
      </c>
      <c r="I6" s="29"/>
      <c r="J6" s="29"/>
      <c r="K6" s="7"/>
      <c r="L6" s="7"/>
      <c r="M6" s="46"/>
    </row>
    <row r="7" spans="1:13" x14ac:dyDescent="0.35">
      <c r="A7" s="64" t="s">
        <v>102</v>
      </c>
      <c r="B7" s="27" t="s">
        <v>41</v>
      </c>
      <c r="C7" s="17"/>
      <c r="D7" s="17"/>
      <c r="E7" s="17"/>
      <c r="F7" s="17">
        <v>34</v>
      </c>
      <c r="G7" s="48">
        <v>1E-3</v>
      </c>
      <c r="H7" s="49">
        <f t="shared" si="0"/>
        <v>3399999.9999999995</v>
      </c>
      <c r="I7" s="7">
        <f>AVERAGE(H7:H8)</f>
        <v>3249999.9999999995</v>
      </c>
      <c r="J7" s="7">
        <f>STDEV(H7:H8)</f>
        <v>212132.03435596425</v>
      </c>
      <c r="K7" s="7">
        <f>I7*0.05</f>
        <v>162500</v>
      </c>
      <c r="L7" s="7">
        <f>J7*0.05</f>
        <v>10606.601717798214</v>
      </c>
      <c r="M7" s="46">
        <f t="shared" si="1"/>
        <v>5.7420494699646643</v>
      </c>
    </row>
    <row r="8" spans="1:13" x14ac:dyDescent="0.35">
      <c r="A8" s="65"/>
      <c r="B8" s="27" t="s">
        <v>42</v>
      </c>
      <c r="C8" s="17"/>
      <c r="D8" s="17"/>
      <c r="E8" s="17"/>
      <c r="F8" s="17">
        <v>31</v>
      </c>
      <c r="G8" s="48">
        <v>1E-3</v>
      </c>
      <c r="H8" s="49">
        <f t="shared" si="0"/>
        <v>3099999.9999999995</v>
      </c>
      <c r="I8" s="29"/>
      <c r="J8" s="29"/>
      <c r="K8" s="7"/>
      <c r="L8" s="7"/>
      <c r="M8" s="46"/>
    </row>
    <row r="9" spans="1:13" x14ac:dyDescent="0.35">
      <c r="A9" s="66" t="s">
        <v>103</v>
      </c>
      <c r="B9" s="27" t="s">
        <v>43</v>
      </c>
      <c r="C9" s="17"/>
      <c r="D9" s="17"/>
      <c r="E9" s="17"/>
      <c r="F9" s="17">
        <v>50</v>
      </c>
      <c r="G9" s="48">
        <v>1E-3</v>
      </c>
      <c r="H9" s="49">
        <f t="shared" ref="H9:H10" si="2">F9/(G9*0.01)</f>
        <v>5000000</v>
      </c>
      <c r="I9" s="7">
        <f>AVERAGE(H9:H10)</f>
        <v>4550000</v>
      </c>
      <c r="J9" s="7">
        <f>STDEV(H9:H10)</f>
        <v>636396.10306789307</v>
      </c>
      <c r="K9" s="7">
        <f>I9*0.05</f>
        <v>227500</v>
      </c>
      <c r="L9" s="7">
        <f>J9*0.05</f>
        <v>31819.805153394656</v>
      </c>
      <c r="M9" s="46">
        <f t="shared" si="1"/>
        <v>8.0388692579505303</v>
      </c>
    </row>
    <row r="10" spans="1:13" x14ac:dyDescent="0.35">
      <c r="A10" s="67"/>
      <c r="B10" s="27" t="s">
        <v>44</v>
      </c>
      <c r="C10" s="17"/>
      <c r="D10" s="17"/>
      <c r="E10" s="17"/>
      <c r="F10" s="17">
        <v>41</v>
      </c>
      <c r="G10" s="48">
        <v>1E-3</v>
      </c>
      <c r="H10" s="49">
        <f t="shared" si="2"/>
        <v>4099999.9999999995</v>
      </c>
      <c r="I10" s="29"/>
      <c r="J10" s="29"/>
      <c r="K10" s="7"/>
      <c r="L10" s="7"/>
      <c r="M10" s="46"/>
    </row>
    <row r="11" spans="1:13" ht="16" customHeight="1" x14ac:dyDescent="0.35">
      <c r="A11" s="66" t="s">
        <v>104</v>
      </c>
      <c r="B11" s="27" t="s">
        <v>108</v>
      </c>
      <c r="C11" s="17"/>
      <c r="D11" s="17"/>
      <c r="E11" s="17"/>
      <c r="F11" s="17">
        <v>12</v>
      </c>
      <c r="G11" s="48">
        <v>1E-3</v>
      </c>
      <c r="H11" s="49">
        <f t="shared" si="0"/>
        <v>1200000</v>
      </c>
      <c r="I11" s="7">
        <f>AVERAGE(H11:H12)</f>
        <v>1650000</v>
      </c>
      <c r="J11" s="7">
        <f>STDEV(H11:H12)</f>
        <v>636396.10306789272</v>
      </c>
      <c r="K11" s="7">
        <f>I11*0.05</f>
        <v>82500</v>
      </c>
      <c r="L11" s="7">
        <f>J11*0.05</f>
        <v>31819.805153394638</v>
      </c>
      <c r="M11" s="46">
        <f t="shared" si="1"/>
        <v>2.9151943462897525</v>
      </c>
    </row>
    <row r="12" spans="1:13" x14ac:dyDescent="0.35">
      <c r="A12" s="67"/>
      <c r="B12" s="27" t="s">
        <v>109</v>
      </c>
      <c r="C12" s="17"/>
      <c r="D12" s="17"/>
      <c r="E12" s="17"/>
      <c r="F12" s="17">
        <v>21</v>
      </c>
      <c r="G12" s="48">
        <v>1E-3</v>
      </c>
      <c r="H12" s="49">
        <f t="shared" si="0"/>
        <v>2100000</v>
      </c>
      <c r="I12" s="29"/>
      <c r="J12" s="29"/>
      <c r="K12" s="7"/>
      <c r="L12" s="7"/>
      <c r="M12" s="46"/>
    </row>
    <row r="13" spans="1:13" x14ac:dyDescent="0.35">
      <c r="A13" s="1" t="s">
        <v>45</v>
      </c>
      <c r="B13" s="1"/>
      <c r="C13" s="1">
        <v>1</v>
      </c>
      <c r="D13" s="1">
        <f>C13/10</f>
        <v>0.1</v>
      </c>
      <c r="E13" s="1">
        <f>D13/10</f>
        <v>0.01</v>
      </c>
      <c r="F13" s="1">
        <f>E13/10</f>
        <v>1E-3</v>
      </c>
    </row>
    <row r="15" spans="1:13" x14ac:dyDescent="0.35">
      <c r="A15" s="1"/>
      <c r="B15" s="1" t="s">
        <v>46</v>
      </c>
      <c r="C15" s="1" t="s">
        <v>34</v>
      </c>
      <c r="L15" s="9"/>
    </row>
    <row r="16" spans="1:13" x14ac:dyDescent="0.35">
      <c r="A16" s="9" t="s">
        <v>100</v>
      </c>
      <c r="B16" s="7">
        <v>157500</v>
      </c>
      <c r="C16" s="7">
        <v>3535.533905932738</v>
      </c>
      <c r="L16" s="40"/>
    </row>
    <row r="17" spans="1:12" x14ac:dyDescent="0.35">
      <c r="A17" s="40" t="s">
        <v>101</v>
      </c>
      <c r="B17" s="7">
        <v>217500</v>
      </c>
      <c r="C17" s="7">
        <v>31819.805153394638</v>
      </c>
      <c r="L17" s="40"/>
    </row>
    <row r="18" spans="1:12" x14ac:dyDescent="0.35">
      <c r="A18" s="40" t="s">
        <v>102</v>
      </c>
      <c r="B18" s="7">
        <v>162500</v>
      </c>
      <c r="C18" s="7">
        <v>10606.601717798214</v>
      </c>
      <c r="L18" s="41"/>
    </row>
    <row r="19" spans="1:12" x14ac:dyDescent="0.35">
      <c r="A19" s="40" t="s">
        <v>103</v>
      </c>
      <c r="B19" s="7">
        <v>227500</v>
      </c>
      <c r="C19" s="7">
        <v>31819.805153394656</v>
      </c>
    </row>
    <row r="20" spans="1:12" x14ac:dyDescent="0.35">
      <c r="A20" s="40" t="s">
        <v>104</v>
      </c>
      <c r="B20" s="7">
        <v>82500</v>
      </c>
      <c r="C20" s="7">
        <v>31819.805153394638</v>
      </c>
    </row>
  </sheetData>
  <mergeCells count="6">
    <mergeCell ref="A5:A6"/>
    <mergeCell ref="A3:A4"/>
    <mergeCell ref="A7:A8"/>
    <mergeCell ref="A11:A12"/>
    <mergeCell ref="C1:F1"/>
    <mergeCell ref="A9:A10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1"/>
  <sheetViews>
    <sheetView showRuler="0" topLeftCell="C4" workbookViewId="0">
      <selection activeCell="L3" sqref="L3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58</v>
      </c>
      <c r="J2" s="1"/>
      <c r="K2" s="26" t="s">
        <v>51</v>
      </c>
      <c r="L2" s="22" t="s">
        <v>52</v>
      </c>
      <c r="M2" s="50" t="s">
        <v>53</v>
      </c>
      <c r="N2" s="34" t="s">
        <v>58</v>
      </c>
      <c r="O2" s="16" t="s">
        <v>59</v>
      </c>
    </row>
    <row r="3" spans="1:25" x14ac:dyDescent="0.35">
      <c r="A3" s="69" t="s">
        <v>100</v>
      </c>
      <c r="B3" s="10" t="s">
        <v>36</v>
      </c>
      <c r="C3" s="53">
        <v>68</v>
      </c>
      <c r="D3" s="53">
        <v>67</v>
      </c>
      <c r="E3" s="17">
        <v>1</v>
      </c>
      <c r="F3" s="29">
        <f t="shared" ref="F3:F17" si="0">AVERAGE(C3,D3)</f>
        <v>67.5</v>
      </c>
      <c r="G3" s="7">
        <f t="shared" ref="G3:G17" si="1">(F3/(0.05*E3))*0.2</f>
        <v>270</v>
      </c>
      <c r="H3" s="71">
        <f>TTEST(G3:G5,G3:G5,2,2)</f>
        <v>1</v>
      </c>
      <c r="I3" s="14"/>
      <c r="J3" s="9" t="s">
        <v>100</v>
      </c>
      <c r="K3" s="7">
        <f>AVERAGE(G3:G5)</f>
        <v>127.33333333333333</v>
      </c>
      <c r="L3" s="7">
        <f>STDEV(G3:G5)</f>
        <v>123.61769021193258</v>
      </c>
      <c r="M3" s="46">
        <v>5.5653710247349819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69"/>
      <c r="B4" s="10" t="s">
        <v>38</v>
      </c>
      <c r="C4" s="53">
        <v>10</v>
      </c>
      <c r="D4" s="53">
        <v>16</v>
      </c>
      <c r="E4" s="17">
        <v>1</v>
      </c>
      <c r="F4" s="29">
        <f t="shared" si="0"/>
        <v>13</v>
      </c>
      <c r="G4" s="7">
        <f t="shared" si="1"/>
        <v>52</v>
      </c>
      <c r="H4" s="71"/>
      <c r="J4" s="40" t="s">
        <v>101</v>
      </c>
      <c r="K4" s="7">
        <f>AVERAGE(G6:G8)</f>
        <v>62.666666666666664</v>
      </c>
      <c r="L4" s="7">
        <f>STDEV(G6:G8)</f>
        <v>9.4516312525052015</v>
      </c>
      <c r="M4" s="46">
        <v>7.6855123674911665</v>
      </c>
      <c r="N4" s="21">
        <f>TTEST(G3:G5,G6:G8,2,2)</f>
        <v>0.41738554092851682</v>
      </c>
      <c r="O4" s="13">
        <f>IF(K4/$K$3&gt;=1,K4/$K$3,-$K$3/K4)</f>
        <v>-2.0319148936170213</v>
      </c>
    </row>
    <row r="5" spans="1:25" x14ac:dyDescent="0.35">
      <c r="A5" s="69"/>
      <c r="B5" s="10" t="s">
        <v>60</v>
      </c>
      <c r="C5" s="53">
        <v>18</v>
      </c>
      <c r="D5" s="53">
        <v>12</v>
      </c>
      <c r="E5" s="17">
        <v>1</v>
      </c>
      <c r="F5" s="29">
        <f t="shared" si="0"/>
        <v>15</v>
      </c>
      <c r="G5" s="7">
        <f t="shared" si="1"/>
        <v>60</v>
      </c>
      <c r="H5" s="71"/>
      <c r="J5" s="40" t="s">
        <v>102</v>
      </c>
      <c r="K5" s="7">
        <f>AVERAGE(G10:G11)</f>
        <v>74</v>
      </c>
      <c r="L5" s="7">
        <f>STDEV(G9:G11)</f>
        <v>15.874507866387544</v>
      </c>
      <c r="M5" s="46">
        <v>5.7420494699646643</v>
      </c>
      <c r="N5" s="21">
        <f>TTEST(G3:G5,G9:G11,2,2)</f>
        <v>0.54659545699656786</v>
      </c>
      <c r="O5" s="13">
        <f>IF(K5/$K$3&gt;=1,K5/$K$3,-$K$3/K5)</f>
        <v>-1.7207207207207207</v>
      </c>
    </row>
    <row r="6" spans="1:25" ht="15" customHeight="1" x14ac:dyDescent="0.35">
      <c r="A6" s="70" t="s">
        <v>101</v>
      </c>
      <c r="B6" s="10" t="s">
        <v>39</v>
      </c>
      <c r="C6" s="53">
        <v>23</v>
      </c>
      <c r="D6" s="53">
        <v>12</v>
      </c>
      <c r="E6" s="17">
        <v>1</v>
      </c>
      <c r="F6" s="1">
        <f t="shared" si="0"/>
        <v>17.5</v>
      </c>
      <c r="G6" s="7">
        <f t="shared" si="1"/>
        <v>70</v>
      </c>
      <c r="H6" s="71">
        <f>TTEST(G6:G8,G3:G5,2,2)</f>
        <v>0.41738554092851682</v>
      </c>
      <c r="J6" s="40" t="s">
        <v>103</v>
      </c>
      <c r="K6" s="7">
        <f>AVERAGE(G12:G14)</f>
        <v>98</v>
      </c>
      <c r="L6" s="7">
        <f>STDEV(G12:G14)</f>
        <v>45.738386504117088</v>
      </c>
      <c r="M6" s="46">
        <v>8.0388692579505303</v>
      </c>
      <c r="N6" s="21">
        <f>TTEST(G3:G5,G12:G14,2,2)</f>
        <v>0.71951730252656187</v>
      </c>
      <c r="O6" s="13">
        <f>IF(K6/$K$3&gt;=1,K6/$K$3,-$K$3/K6)</f>
        <v>-1.2993197278911564</v>
      </c>
    </row>
    <row r="7" spans="1:25" ht="15" customHeight="1" x14ac:dyDescent="0.35">
      <c r="A7" s="70"/>
      <c r="B7" s="10" t="s">
        <v>40</v>
      </c>
      <c r="C7" s="53">
        <v>15</v>
      </c>
      <c r="D7" s="53">
        <v>18</v>
      </c>
      <c r="E7" s="17">
        <v>1</v>
      </c>
      <c r="F7" s="1">
        <f t="shared" si="0"/>
        <v>16.5</v>
      </c>
      <c r="G7" s="7">
        <f t="shared" si="1"/>
        <v>66</v>
      </c>
      <c r="H7" s="71"/>
      <c r="J7" s="40" t="s">
        <v>104</v>
      </c>
      <c r="K7" s="7">
        <f>AVERAGE(G15:G17)</f>
        <v>68</v>
      </c>
      <c r="L7" s="7">
        <f>STDEV(G15:G17)</f>
        <v>17.320508075688775</v>
      </c>
      <c r="M7" s="46">
        <v>2.9151943462897525</v>
      </c>
      <c r="N7" s="21">
        <f>TTEST(G3:G5,G15:G17,2,2)</f>
        <v>0.45659135493032027</v>
      </c>
      <c r="O7" s="13">
        <f>IF(K7/$K$3&gt;=1,K7/$K$3,-$K$3/K7)</f>
        <v>-1.8725490196078431</v>
      </c>
    </row>
    <row r="8" spans="1:25" x14ac:dyDescent="0.35">
      <c r="A8" s="70"/>
      <c r="B8" s="10" t="s">
        <v>63</v>
      </c>
      <c r="C8" s="53">
        <v>12</v>
      </c>
      <c r="D8" s="53">
        <v>14</v>
      </c>
      <c r="E8" s="17">
        <v>1</v>
      </c>
      <c r="F8" s="1">
        <f t="shared" si="0"/>
        <v>13</v>
      </c>
      <c r="G8" s="7">
        <f t="shared" si="1"/>
        <v>52</v>
      </c>
      <c r="H8" s="71"/>
    </row>
    <row r="9" spans="1:25" ht="15" customHeight="1" x14ac:dyDescent="0.35">
      <c r="A9" s="70" t="s">
        <v>102</v>
      </c>
      <c r="B9" s="10" t="s">
        <v>41</v>
      </c>
      <c r="C9" s="53">
        <v>28</v>
      </c>
      <c r="D9" s="53">
        <v>18</v>
      </c>
      <c r="E9" s="17">
        <v>1</v>
      </c>
      <c r="F9" s="1">
        <f t="shared" si="0"/>
        <v>23</v>
      </c>
      <c r="G9" s="7">
        <f t="shared" si="1"/>
        <v>92</v>
      </c>
      <c r="H9" s="71">
        <f>TTEST(G9:G11,G3:G5,2,2)</f>
        <v>0.54659545699656786</v>
      </c>
      <c r="J9" s="14"/>
    </row>
    <row r="10" spans="1:25" x14ac:dyDescent="0.35">
      <c r="A10" s="70"/>
      <c r="B10" s="10" t="s">
        <v>42</v>
      </c>
      <c r="C10" s="53">
        <v>14</v>
      </c>
      <c r="D10" s="53">
        <v>17</v>
      </c>
      <c r="E10" s="17">
        <v>1</v>
      </c>
      <c r="F10" s="1">
        <f t="shared" si="0"/>
        <v>15.5</v>
      </c>
      <c r="G10" s="7">
        <f t="shared" si="1"/>
        <v>62</v>
      </c>
      <c r="H10" s="71"/>
    </row>
    <row r="11" spans="1:25" ht="15" customHeight="1" x14ac:dyDescent="0.35">
      <c r="A11" s="70"/>
      <c r="B11" s="10" t="s">
        <v>61</v>
      </c>
      <c r="C11" s="53">
        <v>32</v>
      </c>
      <c r="D11" s="53">
        <v>11</v>
      </c>
      <c r="E11" s="17">
        <v>1</v>
      </c>
      <c r="F11" s="1">
        <f t="shared" si="0"/>
        <v>21.5</v>
      </c>
      <c r="G11" s="7">
        <f t="shared" si="1"/>
        <v>86</v>
      </c>
      <c r="H11" s="71"/>
    </row>
    <row r="12" spans="1:25" ht="15" customHeight="1" x14ac:dyDescent="0.35">
      <c r="A12" s="70" t="s">
        <v>103</v>
      </c>
      <c r="B12" s="10" t="s">
        <v>43</v>
      </c>
      <c r="C12" s="53">
        <v>18</v>
      </c>
      <c r="D12" s="53">
        <v>14</v>
      </c>
      <c r="E12" s="17">
        <v>1</v>
      </c>
      <c r="F12" s="1">
        <f t="shared" si="0"/>
        <v>16</v>
      </c>
      <c r="G12" s="7">
        <f t="shared" si="1"/>
        <v>64</v>
      </c>
      <c r="H12" s="59"/>
    </row>
    <row r="13" spans="1:25" ht="15" customHeight="1" x14ac:dyDescent="0.35">
      <c r="A13" s="70"/>
      <c r="B13" s="10" t="s">
        <v>44</v>
      </c>
      <c r="C13" s="53">
        <v>19</v>
      </c>
      <c r="D13" s="53">
        <v>21</v>
      </c>
      <c r="E13" s="17">
        <v>1</v>
      </c>
      <c r="F13" s="1">
        <f t="shared" si="0"/>
        <v>20</v>
      </c>
      <c r="G13" s="7">
        <f t="shared" si="1"/>
        <v>80</v>
      </c>
      <c r="H13" s="59"/>
    </row>
    <row r="14" spans="1:25" ht="15" customHeight="1" x14ac:dyDescent="0.35">
      <c r="A14" s="70"/>
      <c r="B14" s="10" t="s">
        <v>62</v>
      </c>
      <c r="C14" s="53">
        <v>33</v>
      </c>
      <c r="D14" s="53">
        <v>42</v>
      </c>
      <c r="E14" s="17">
        <v>1</v>
      </c>
      <c r="F14" s="1">
        <f t="shared" si="0"/>
        <v>37.5</v>
      </c>
      <c r="G14" s="7">
        <f t="shared" si="1"/>
        <v>150</v>
      </c>
      <c r="H14" s="59"/>
    </row>
    <row r="15" spans="1:25" x14ac:dyDescent="0.35">
      <c r="A15" s="70" t="s">
        <v>104</v>
      </c>
      <c r="B15" s="10" t="s">
        <v>108</v>
      </c>
      <c r="C15" s="53">
        <v>11</v>
      </c>
      <c r="D15" s="53">
        <v>13</v>
      </c>
      <c r="E15" s="17">
        <v>1</v>
      </c>
      <c r="F15" s="1">
        <f t="shared" si="0"/>
        <v>12</v>
      </c>
      <c r="G15" s="7">
        <f t="shared" si="1"/>
        <v>48</v>
      </c>
      <c r="H15" s="71">
        <f>TTEST(G15:G16,G3:G5,2,2)</f>
        <v>0.5380662398381395</v>
      </c>
    </row>
    <row r="16" spans="1:25" ht="15" customHeight="1" x14ac:dyDescent="0.35">
      <c r="A16" s="70"/>
      <c r="B16" s="10" t="s">
        <v>109</v>
      </c>
      <c r="C16" s="53">
        <v>14</v>
      </c>
      <c r="D16" s="53">
        <v>25</v>
      </c>
      <c r="E16" s="17">
        <v>1</v>
      </c>
      <c r="F16" s="1">
        <f t="shared" si="0"/>
        <v>19.5</v>
      </c>
      <c r="G16" s="7">
        <f t="shared" si="1"/>
        <v>78</v>
      </c>
      <c r="H16" s="71"/>
    </row>
    <row r="17" spans="1:8" x14ac:dyDescent="0.35">
      <c r="A17" s="70"/>
      <c r="B17" s="10" t="s">
        <v>110</v>
      </c>
      <c r="C17" s="53">
        <v>18</v>
      </c>
      <c r="D17" s="53">
        <v>21</v>
      </c>
      <c r="E17" s="17">
        <v>1</v>
      </c>
      <c r="F17" s="1">
        <f t="shared" si="0"/>
        <v>19.5</v>
      </c>
      <c r="G17" s="7">
        <f t="shared" si="1"/>
        <v>78</v>
      </c>
      <c r="H17" s="71"/>
    </row>
    <row r="18" spans="1:8" x14ac:dyDescent="0.35">
      <c r="A18" s="33" t="s">
        <v>67</v>
      </c>
      <c r="B18" s="10"/>
      <c r="C18" s="56">
        <v>0</v>
      </c>
      <c r="D18" s="56"/>
      <c r="E18" s="17">
        <v>1</v>
      </c>
      <c r="F18" s="1" t="s">
        <v>37</v>
      </c>
      <c r="G18" s="7" t="s">
        <v>37</v>
      </c>
    </row>
    <row r="19" spans="1:8" x14ac:dyDescent="0.35">
      <c r="A19" s="33" t="s">
        <v>68</v>
      </c>
      <c r="B19" s="10"/>
      <c r="C19" s="17">
        <v>0</v>
      </c>
      <c r="D19" s="17"/>
      <c r="E19" s="17">
        <v>1</v>
      </c>
      <c r="F19" s="1" t="s">
        <v>37</v>
      </c>
      <c r="G19" s="7" t="s">
        <v>37</v>
      </c>
      <c r="H19" s="14"/>
    </row>
    <row r="20" spans="1:8" x14ac:dyDescent="0.35">
      <c r="A20" s="36" t="s">
        <v>99</v>
      </c>
      <c r="H20" s="14"/>
    </row>
    <row r="21" spans="1:8" x14ac:dyDescent="0.35">
      <c r="A21" s="36" t="s">
        <v>54</v>
      </c>
    </row>
  </sheetData>
  <mergeCells count="9">
    <mergeCell ref="A3:A5"/>
    <mergeCell ref="A6:A8"/>
    <mergeCell ref="A9:A11"/>
    <mergeCell ref="A15:A17"/>
    <mergeCell ref="H6:H8"/>
    <mergeCell ref="H9:H11"/>
    <mergeCell ref="H15:H17"/>
    <mergeCell ref="H3:H5"/>
    <mergeCell ref="A12:A14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F86D-8BF1-404E-BDCE-D9FB218D71B8}">
  <sheetPr>
    <pageSetUpPr fitToPage="1"/>
  </sheetPr>
  <dimension ref="A1:V29"/>
  <sheetViews>
    <sheetView showRuler="0" topLeftCell="J1" workbookViewId="0">
      <selection activeCell="O19" sqref="O19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63" t="s">
        <v>55</v>
      </c>
      <c r="D1" s="63"/>
      <c r="E1" s="63"/>
      <c r="F1" s="57"/>
      <c r="G1" s="63" t="s">
        <v>56</v>
      </c>
      <c r="H1" s="63"/>
      <c r="I1" s="63"/>
      <c r="J1" s="58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0" t="s">
        <v>31</v>
      </c>
      <c r="L2" s="50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0" t="s">
        <v>53</v>
      </c>
      <c r="S2" s="16" t="s">
        <v>112</v>
      </c>
      <c r="T2" s="16" t="s">
        <v>113</v>
      </c>
      <c r="U2" s="61" t="s">
        <v>111</v>
      </c>
      <c r="V2" s="16" t="s">
        <v>114</v>
      </c>
    </row>
    <row r="3" spans="1:22" x14ac:dyDescent="0.35">
      <c r="A3" s="69" t="s">
        <v>100</v>
      </c>
      <c r="B3" s="10" t="s">
        <v>36</v>
      </c>
      <c r="C3" s="17"/>
      <c r="D3" s="17"/>
      <c r="E3" s="32">
        <v>33</v>
      </c>
      <c r="F3" s="32"/>
      <c r="G3" s="17"/>
      <c r="H3" s="17"/>
      <c r="I3" s="32">
        <v>32</v>
      </c>
      <c r="J3" s="32"/>
      <c r="K3" s="48">
        <v>0.01</v>
      </c>
      <c r="L3" s="47">
        <f>AVERAGE(E3,I3)</f>
        <v>32.5</v>
      </c>
      <c r="M3" s="7">
        <f t="shared" ref="M3:M7" si="0">(L3/(0.01*K3))*0.2</f>
        <v>65000</v>
      </c>
      <c r="N3" s="14"/>
      <c r="O3" s="9" t="s">
        <v>100</v>
      </c>
      <c r="P3" s="7">
        <f>AVERAGE(M3:M5)</f>
        <v>51000</v>
      </c>
      <c r="Q3" s="7">
        <f>STDEV(M3:M5)</f>
        <v>17058.722109231981</v>
      </c>
      <c r="R3" s="46">
        <v>5.5653710247349819</v>
      </c>
      <c r="S3" s="21"/>
      <c r="T3" s="13">
        <f>IF(P3/$P$3&gt;=1,P3/$P$3,-$P$3/P3)</f>
        <v>1</v>
      </c>
      <c r="U3" s="13">
        <f>IF(P3/$P$5&gt;=1,P3/$P$5,-$P$5/P3)</f>
        <v>-1.0784313725490196</v>
      </c>
      <c r="V3" s="21">
        <f>TTEST(M9:M11,M3:M5,2,2)</f>
        <v>0.34238882483166044</v>
      </c>
    </row>
    <row r="4" spans="1:22" x14ac:dyDescent="0.35">
      <c r="A4" s="69"/>
      <c r="B4" s="10" t="s">
        <v>38</v>
      </c>
      <c r="C4" s="17"/>
      <c r="D4" s="17"/>
      <c r="E4" s="32">
        <v>27</v>
      </c>
      <c r="F4" s="32"/>
      <c r="G4" s="17"/>
      <c r="H4" s="17"/>
      <c r="I4" s="32">
        <v>29</v>
      </c>
      <c r="J4" s="32"/>
      <c r="K4" s="48">
        <v>0.01</v>
      </c>
      <c r="L4" s="47">
        <f t="shared" ref="L4:L5" si="1">AVERAGE(E4,I4)</f>
        <v>28</v>
      </c>
      <c r="M4" s="7">
        <f t="shared" si="0"/>
        <v>56000</v>
      </c>
      <c r="N4" s="14"/>
      <c r="O4" s="40" t="s">
        <v>101</v>
      </c>
      <c r="P4" s="7">
        <f>AVERAGE(M6:M8)</f>
        <v>17400</v>
      </c>
      <c r="Q4" s="7">
        <f>STDEV(M6:M8)</f>
        <v>2773.0849247724095</v>
      </c>
      <c r="R4" s="46">
        <v>7.6855123674911665</v>
      </c>
      <c r="S4" s="21">
        <f>TTEST(M3:M5,M6:M8,2,2)</f>
        <v>2.8112379480185311E-2</v>
      </c>
      <c r="T4" s="13">
        <f>IF(P4/$P$3&gt;=1,P4/$P$3,-$P$3/P4)</f>
        <v>-2.9310344827586206</v>
      </c>
      <c r="U4" s="13">
        <f>IF(P4/$P$5&gt;=1,P4/$P$5,-$P$5/P4)</f>
        <v>-3.1609195402298851</v>
      </c>
      <c r="V4" s="21">
        <f>TTEST(M9:M11,M6:M8,2,2)</f>
        <v>7.9849832866504641E-2</v>
      </c>
    </row>
    <row r="5" spans="1:22" x14ac:dyDescent="0.35">
      <c r="A5" s="69"/>
      <c r="B5" s="10" t="s">
        <v>60</v>
      </c>
      <c r="C5" s="48"/>
      <c r="D5" s="48"/>
      <c r="E5" s="51">
        <v>16</v>
      </c>
      <c r="F5" s="51"/>
      <c r="G5" s="48"/>
      <c r="H5" s="48"/>
      <c r="I5" s="51">
        <v>16</v>
      </c>
      <c r="J5" s="51"/>
      <c r="K5" s="48">
        <v>0.01</v>
      </c>
      <c r="L5" s="47">
        <f t="shared" si="1"/>
        <v>16</v>
      </c>
      <c r="M5" s="7">
        <f t="shared" si="0"/>
        <v>32000</v>
      </c>
      <c r="N5" s="14"/>
      <c r="O5" s="40" t="s">
        <v>102</v>
      </c>
      <c r="P5" s="7">
        <f>AVERAGE(M10:M11)</f>
        <v>55000</v>
      </c>
      <c r="Q5" s="7">
        <f>STDEV(M9:M11)</f>
        <v>48590.122453025368</v>
      </c>
      <c r="R5" s="46">
        <v>5.7420494699646643</v>
      </c>
      <c r="S5" s="21">
        <f>TTEST(M3:M5,M9:M11,2,2)</f>
        <v>0.34238882483166044</v>
      </c>
      <c r="T5" s="13">
        <f t="shared" ref="T5:T7" si="2">IF(P5/$P$3&gt;=1,P5/$P$3,-$P$3/P5)</f>
        <v>1.0784313725490196</v>
      </c>
      <c r="U5" s="13">
        <f t="shared" ref="U5:U7" si="3">IF(P5/$P$5&gt;=1,P5/$P$5,-$P$5/P5)</f>
        <v>1</v>
      </c>
      <c r="V5" s="21"/>
    </row>
    <row r="6" spans="1:22" x14ac:dyDescent="0.35">
      <c r="A6" s="70" t="s">
        <v>101</v>
      </c>
      <c r="B6" s="10" t="s">
        <v>39</v>
      </c>
      <c r="C6" s="48"/>
      <c r="D6" s="48">
        <v>65</v>
      </c>
      <c r="E6" s="51"/>
      <c r="F6" s="51"/>
      <c r="G6" s="48"/>
      <c r="H6" s="48">
        <v>77</v>
      </c>
      <c r="I6" s="51"/>
      <c r="J6" s="51"/>
      <c r="K6" s="48">
        <f>0.1</f>
        <v>0.1</v>
      </c>
      <c r="L6" s="47">
        <f>AVERAGE(D6,H6)</f>
        <v>71</v>
      </c>
      <c r="M6" s="7">
        <f t="shared" si="0"/>
        <v>14200</v>
      </c>
      <c r="N6" s="14"/>
      <c r="O6" s="40" t="s">
        <v>103</v>
      </c>
      <c r="P6" s="7">
        <f>AVERAGE(M12:M14)</f>
        <v>21566.666666666668</v>
      </c>
      <c r="Q6" s="7">
        <f>STDEV(M12:M14)</f>
        <v>12552.423404798508</v>
      </c>
      <c r="R6" s="46">
        <v>8.0388692579505303</v>
      </c>
      <c r="S6" s="21">
        <f>TTEST(M3:M5,M12:M14,2,2)</f>
        <v>7.3788859769999965E-2</v>
      </c>
      <c r="T6" s="13">
        <f t="shared" si="2"/>
        <v>-2.364760432766615</v>
      </c>
      <c r="U6" s="13">
        <f t="shared" si="3"/>
        <v>-2.5502318392581143</v>
      </c>
      <c r="V6" s="21">
        <f>TTEST(M12:M14,M9:M11,2,2)</f>
        <v>0.10131287303261306</v>
      </c>
    </row>
    <row r="7" spans="1:22" ht="15" customHeight="1" x14ac:dyDescent="0.35">
      <c r="A7" s="70"/>
      <c r="B7" s="10" t="s">
        <v>40</v>
      </c>
      <c r="C7" s="48"/>
      <c r="D7" s="48">
        <v>88</v>
      </c>
      <c r="E7" s="51"/>
      <c r="F7" s="51"/>
      <c r="G7" s="48"/>
      <c r="H7" s="48">
        <v>101</v>
      </c>
      <c r="I7" s="51"/>
      <c r="J7" s="51"/>
      <c r="K7" s="48">
        <f t="shared" ref="K7:K8" si="4">0.1</f>
        <v>0.1</v>
      </c>
      <c r="L7" s="47">
        <f t="shared" ref="L7:L8" si="5">AVERAGE(D7,H7)</f>
        <v>94.5</v>
      </c>
      <c r="M7" s="7">
        <f t="shared" si="0"/>
        <v>18900</v>
      </c>
      <c r="N7" s="14"/>
      <c r="O7" s="40" t="s">
        <v>104</v>
      </c>
      <c r="P7" s="7">
        <f>AVERAGE(M15:M17)</f>
        <v>5.333333333333333</v>
      </c>
      <c r="Q7" s="7">
        <f>STDEV(M15:M17)</f>
        <v>5.0332229568471671</v>
      </c>
      <c r="R7" s="46">
        <v>2.9151943462897525</v>
      </c>
      <c r="S7" s="21">
        <f>TTEST(M3:M5,M15:M17,2,2)</f>
        <v>6.616679860722321E-3</v>
      </c>
      <c r="T7" s="13">
        <f t="shared" si="2"/>
        <v>-9562.5</v>
      </c>
      <c r="U7" s="13">
        <f t="shared" si="3"/>
        <v>-10312.5</v>
      </c>
      <c r="V7" s="21">
        <f>TTEST(M15:M17,M9:M11,2,2)</f>
        <v>4.1618832766182896E-2</v>
      </c>
    </row>
    <row r="8" spans="1:22" ht="15" customHeight="1" x14ac:dyDescent="0.35">
      <c r="A8" s="70"/>
      <c r="B8" s="10" t="s">
        <v>63</v>
      </c>
      <c r="C8" s="48"/>
      <c r="D8" s="48">
        <v>100</v>
      </c>
      <c r="E8" s="51"/>
      <c r="F8" s="51"/>
      <c r="G8" s="48"/>
      <c r="H8" s="48">
        <v>91</v>
      </c>
      <c r="I8" s="51"/>
      <c r="J8" s="51"/>
      <c r="K8" s="48">
        <f t="shared" si="4"/>
        <v>0.1</v>
      </c>
      <c r="L8" s="47">
        <f t="shared" si="5"/>
        <v>95.5</v>
      </c>
      <c r="M8" s="7">
        <f t="shared" ref="M8:M14" si="6">(L8/(0.01*K8))*0.2</f>
        <v>19100</v>
      </c>
      <c r="N8" s="14"/>
    </row>
    <row r="9" spans="1:22" ht="15" customHeight="1" x14ac:dyDescent="0.35">
      <c r="A9" s="70" t="s">
        <v>102</v>
      </c>
      <c r="B9" s="10" t="s">
        <v>41</v>
      </c>
      <c r="C9" s="53"/>
      <c r="D9" s="53"/>
      <c r="E9" s="53">
        <v>54</v>
      </c>
      <c r="F9" s="53"/>
      <c r="G9" s="52"/>
      <c r="H9" s="53"/>
      <c r="I9" s="53">
        <v>85</v>
      </c>
      <c r="J9" s="53"/>
      <c r="K9" s="48">
        <v>0.01</v>
      </c>
      <c r="L9" s="47">
        <f>AVERAGE(E9,I9)</f>
        <v>69.5</v>
      </c>
      <c r="M9" s="7">
        <f>(L9/(0.01*K9))*0.2</f>
        <v>139000</v>
      </c>
      <c r="N9" s="14"/>
    </row>
    <row r="10" spans="1:22" x14ac:dyDescent="0.35">
      <c r="A10" s="70"/>
      <c r="B10" s="10" t="s">
        <v>42</v>
      </c>
      <c r="C10" s="53"/>
      <c r="D10" s="53"/>
      <c r="E10" s="53">
        <v>25</v>
      </c>
      <c r="F10" s="53"/>
      <c r="G10" s="53"/>
      <c r="H10" s="53"/>
      <c r="I10" s="53">
        <v>33</v>
      </c>
      <c r="J10" s="53"/>
      <c r="K10" s="48">
        <v>0.01</v>
      </c>
      <c r="L10" s="47">
        <f t="shared" ref="L10:L13" si="7">AVERAGE(E10,I10)</f>
        <v>29</v>
      </c>
      <c r="M10" s="7">
        <f t="shared" si="6"/>
        <v>58000</v>
      </c>
      <c r="N10" s="14"/>
    </row>
    <row r="11" spans="1:22" ht="15" customHeight="1" x14ac:dyDescent="0.35">
      <c r="A11" s="70"/>
      <c r="B11" s="10" t="s">
        <v>61</v>
      </c>
      <c r="C11" s="53"/>
      <c r="D11" s="53"/>
      <c r="E11" s="53">
        <v>25</v>
      </c>
      <c r="F11" s="53"/>
      <c r="G11" s="53"/>
      <c r="H11" s="53"/>
      <c r="I11" s="53">
        <v>27</v>
      </c>
      <c r="J11" s="53"/>
      <c r="K11" s="48">
        <v>0.01</v>
      </c>
      <c r="L11" s="47">
        <f t="shared" si="7"/>
        <v>26</v>
      </c>
      <c r="M11" s="7">
        <f t="shared" si="6"/>
        <v>52000</v>
      </c>
      <c r="N11" s="14"/>
    </row>
    <row r="12" spans="1:22" ht="15" customHeight="1" x14ac:dyDescent="0.35">
      <c r="A12" s="70" t="s">
        <v>103</v>
      </c>
      <c r="B12" s="10" t="s">
        <v>43</v>
      </c>
      <c r="C12" s="53"/>
      <c r="D12" s="53">
        <v>76</v>
      </c>
      <c r="E12" s="53"/>
      <c r="F12" s="53"/>
      <c r="G12" s="52"/>
      <c r="H12" s="53">
        <v>79</v>
      </c>
      <c r="I12" s="53"/>
      <c r="J12" s="53"/>
      <c r="K12" s="48">
        <v>0.1</v>
      </c>
      <c r="L12" s="47">
        <f>AVERAGE(D12,H12)</f>
        <v>77.5</v>
      </c>
      <c r="M12" s="7">
        <f t="shared" si="6"/>
        <v>15500</v>
      </c>
      <c r="N12" s="14"/>
    </row>
    <row r="13" spans="1:22" ht="15" customHeight="1" x14ac:dyDescent="0.35">
      <c r="A13" s="70"/>
      <c r="B13" s="10" t="s">
        <v>44</v>
      </c>
      <c r="C13" s="53"/>
      <c r="D13" s="53"/>
      <c r="E13" s="53">
        <v>16</v>
      </c>
      <c r="F13" s="53"/>
      <c r="G13" s="53"/>
      <c r="H13" s="53"/>
      <c r="I13" s="53">
        <v>20</v>
      </c>
      <c r="J13" s="53"/>
      <c r="K13" s="48">
        <v>0.01</v>
      </c>
      <c r="L13" s="47">
        <f t="shared" si="7"/>
        <v>18</v>
      </c>
      <c r="M13" s="7">
        <f t="shared" si="6"/>
        <v>36000</v>
      </c>
      <c r="N13" s="14"/>
    </row>
    <row r="14" spans="1:22" ht="15" customHeight="1" x14ac:dyDescent="0.35">
      <c r="A14" s="70"/>
      <c r="B14" s="10" t="s">
        <v>62</v>
      </c>
      <c r="C14" s="53"/>
      <c r="D14" s="53">
        <v>59</v>
      </c>
      <c r="E14" s="53"/>
      <c r="F14" s="53"/>
      <c r="G14" s="53"/>
      <c r="H14" s="53">
        <v>73</v>
      </c>
      <c r="I14" s="53"/>
      <c r="J14" s="53"/>
      <c r="K14" s="48">
        <v>0.1</v>
      </c>
      <c r="L14" s="47">
        <f>AVERAGE(D14,H14)</f>
        <v>66</v>
      </c>
      <c r="M14" s="7">
        <f t="shared" si="6"/>
        <v>13200</v>
      </c>
      <c r="N14" s="14"/>
    </row>
    <row r="15" spans="1:22" ht="16" customHeight="1" x14ac:dyDescent="0.35">
      <c r="A15" s="70" t="s">
        <v>104</v>
      </c>
      <c r="B15" s="10" t="s">
        <v>43</v>
      </c>
      <c r="C15" s="53">
        <v>0</v>
      </c>
      <c r="D15" s="48" t="s">
        <v>37</v>
      </c>
      <c r="E15" s="48" t="s">
        <v>37</v>
      </c>
      <c r="F15" s="48" t="s">
        <v>37</v>
      </c>
      <c r="G15" s="52">
        <v>0</v>
      </c>
      <c r="H15" s="48" t="s">
        <v>37</v>
      </c>
      <c r="I15" s="48" t="s">
        <v>37</v>
      </c>
      <c r="J15" s="48" t="s">
        <v>37</v>
      </c>
      <c r="K15" s="48">
        <v>1</v>
      </c>
      <c r="L15" s="47">
        <f>AVERAGE(C15,G15)</f>
        <v>0</v>
      </c>
      <c r="M15" s="7">
        <f>(L15/(0.05*K15))*0.2</f>
        <v>0</v>
      </c>
      <c r="N15" s="14"/>
    </row>
    <row r="16" spans="1:22" ht="15" customHeight="1" x14ac:dyDescent="0.35">
      <c r="A16" s="70"/>
      <c r="B16" s="10" t="s">
        <v>44</v>
      </c>
      <c r="C16" s="53">
        <v>2</v>
      </c>
      <c r="D16" s="48" t="s">
        <v>37</v>
      </c>
      <c r="E16" s="48" t="s">
        <v>37</v>
      </c>
      <c r="F16" s="48" t="s">
        <v>37</v>
      </c>
      <c r="G16" s="53">
        <v>1</v>
      </c>
      <c r="H16" s="48" t="s">
        <v>37</v>
      </c>
      <c r="I16" s="48" t="s">
        <v>37</v>
      </c>
      <c r="J16" s="48" t="s">
        <v>37</v>
      </c>
      <c r="K16" s="48">
        <v>1</v>
      </c>
      <c r="L16" s="47">
        <f t="shared" ref="L16:L17" si="8">AVERAGE(C16,G16)</f>
        <v>1.5</v>
      </c>
      <c r="M16" s="7">
        <f t="shared" ref="M16:M17" si="9">(L16/(0.05*K16))*0.2</f>
        <v>6</v>
      </c>
      <c r="N16" s="14"/>
    </row>
    <row r="17" spans="1:14" x14ac:dyDescent="0.35">
      <c r="A17" s="70"/>
      <c r="B17" s="10" t="s">
        <v>62</v>
      </c>
      <c r="C17" s="53">
        <v>1</v>
      </c>
      <c r="D17" s="48" t="s">
        <v>37</v>
      </c>
      <c r="E17" s="48" t="s">
        <v>37</v>
      </c>
      <c r="F17" s="48" t="s">
        <v>37</v>
      </c>
      <c r="G17" s="53">
        <v>4</v>
      </c>
      <c r="H17" s="48" t="s">
        <v>37</v>
      </c>
      <c r="I17" s="48" t="s">
        <v>37</v>
      </c>
      <c r="J17" s="48" t="s">
        <v>37</v>
      </c>
      <c r="K17" s="48">
        <v>1</v>
      </c>
      <c r="L17" s="47">
        <f t="shared" si="8"/>
        <v>2.5</v>
      </c>
      <c r="M17" s="7">
        <f t="shared" si="9"/>
        <v>10</v>
      </c>
      <c r="N17" s="14"/>
    </row>
    <row r="18" spans="1:14" x14ac:dyDescent="0.35">
      <c r="A18" s="33" t="s">
        <v>64</v>
      </c>
      <c r="B18" s="10"/>
      <c r="C18" s="48">
        <v>0</v>
      </c>
      <c r="D18" s="48" t="s">
        <v>37</v>
      </c>
      <c r="E18" s="48" t="s">
        <v>37</v>
      </c>
      <c r="F18" s="48" t="s">
        <v>37</v>
      </c>
      <c r="G18" s="48">
        <v>0</v>
      </c>
      <c r="H18" s="48" t="s">
        <v>37</v>
      </c>
      <c r="I18" s="48" t="s">
        <v>37</v>
      </c>
      <c r="J18" s="48" t="s">
        <v>37</v>
      </c>
      <c r="K18" s="48">
        <v>1</v>
      </c>
      <c r="L18" s="29">
        <v>0</v>
      </c>
      <c r="M18" s="7">
        <f>(L18/(0.1*K18))*0.2</f>
        <v>0</v>
      </c>
      <c r="N18" s="14"/>
    </row>
    <row r="19" spans="1:14" x14ac:dyDescent="0.35">
      <c r="A19" s="33" t="s">
        <v>65</v>
      </c>
      <c r="B19" s="10"/>
      <c r="C19" s="48">
        <v>0</v>
      </c>
      <c r="D19" s="48" t="s">
        <v>37</v>
      </c>
      <c r="E19" s="48" t="s">
        <v>37</v>
      </c>
      <c r="F19" s="48" t="s">
        <v>37</v>
      </c>
      <c r="G19" s="48">
        <v>0</v>
      </c>
      <c r="H19" s="48" t="s">
        <v>37</v>
      </c>
      <c r="I19" s="48" t="s">
        <v>37</v>
      </c>
      <c r="J19" s="48" t="s">
        <v>37</v>
      </c>
      <c r="K19" s="48">
        <v>1</v>
      </c>
      <c r="L19" s="29">
        <f>AVERAGE(C19)</f>
        <v>0</v>
      </c>
      <c r="M19" s="7">
        <f>(L19/(0.1*K19))*0.2</f>
        <v>0</v>
      </c>
      <c r="N19" s="14"/>
    </row>
    <row r="20" spans="1:14" x14ac:dyDescent="0.35">
      <c r="A20" s="1" t="s">
        <v>45</v>
      </c>
      <c r="B20" s="1"/>
      <c r="C20" s="1">
        <v>1</v>
      </c>
      <c r="D20" s="1">
        <f>C20/10</f>
        <v>0.1</v>
      </c>
      <c r="E20" s="1">
        <f>D20/10</f>
        <v>0.01</v>
      </c>
      <c r="F20" s="1">
        <v>1E-3</v>
      </c>
      <c r="G20" s="1">
        <v>1</v>
      </c>
      <c r="H20" s="1">
        <f>G20/10</f>
        <v>0.1</v>
      </c>
      <c r="I20" s="1">
        <f>H20/10</f>
        <v>0.01</v>
      </c>
      <c r="J20">
        <v>1E-3</v>
      </c>
      <c r="M20" s="14"/>
      <c r="N20" s="14"/>
    </row>
    <row r="21" spans="1:14" x14ac:dyDescent="0.35">
      <c r="A21" s="72"/>
      <c r="B21" s="72"/>
      <c r="C21" s="72"/>
    </row>
    <row r="22" spans="1:14" x14ac:dyDescent="0.35">
      <c r="A22" s="72" t="s">
        <v>57</v>
      </c>
      <c r="B22" s="72"/>
      <c r="C22" s="72"/>
      <c r="D22" s="36"/>
    </row>
    <row r="28" spans="1:14" x14ac:dyDescent="0.35">
      <c r="I28" s="14"/>
      <c r="J28" s="14"/>
    </row>
    <row r="29" spans="1:14" x14ac:dyDescent="0.35">
      <c r="I29" s="14"/>
      <c r="J29" s="14"/>
    </row>
  </sheetData>
  <mergeCells count="9">
    <mergeCell ref="A21:C21"/>
    <mergeCell ref="A22:C22"/>
    <mergeCell ref="C1:E1"/>
    <mergeCell ref="G1:I1"/>
    <mergeCell ref="A3:A5"/>
    <mergeCell ref="A6:A8"/>
    <mergeCell ref="A9:A11"/>
    <mergeCell ref="A15:A17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M25"/>
  <sheetViews>
    <sheetView tabSelected="1" topLeftCell="D5" workbookViewId="0">
      <selection activeCell="N7" sqref="N7"/>
    </sheetView>
  </sheetViews>
  <sheetFormatPr defaultColWidth="8.83203125" defaultRowHeight="15.5" x14ac:dyDescent="0.35"/>
  <cols>
    <col min="1" max="1" width="17.5" customWidth="1"/>
    <col min="7" max="7" width="12.33203125" customWidth="1"/>
    <col min="8" max="8" width="4" hidden="1" customWidth="1"/>
    <col min="9" max="9" width="15.83203125" customWidth="1"/>
    <col min="11" max="11" width="9.1640625" bestFit="1" customWidth="1"/>
  </cols>
  <sheetData>
    <row r="1" spans="1:10" x14ac:dyDescent="0.35">
      <c r="B1" t="s">
        <v>94</v>
      </c>
      <c r="C1" t="s">
        <v>52</v>
      </c>
      <c r="D1" t="s">
        <v>95</v>
      </c>
      <c r="E1" t="s">
        <v>52</v>
      </c>
      <c r="F1" t="s">
        <v>97</v>
      </c>
      <c r="G1" s="16" t="s">
        <v>115</v>
      </c>
      <c r="I1" t="s">
        <v>98</v>
      </c>
      <c r="J1" t="s">
        <v>98</v>
      </c>
    </row>
    <row r="2" spans="1:10" x14ac:dyDescent="0.35">
      <c r="A2" s="9" t="s">
        <v>100</v>
      </c>
      <c r="B2" s="7">
        <v>127.33333333333333</v>
      </c>
      <c r="C2" s="7">
        <v>123.61769021193258</v>
      </c>
      <c r="D2" s="7">
        <v>51000</v>
      </c>
      <c r="E2" s="7">
        <v>17058.722109231981</v>
      </c>
      <c r="F2">
        <f>D2/B2</f>
        <v>400.52356020942409</v>
      </c>
      <c r="G2" s="14">
        <f>F2*SQRT((E2/D2)^2+(C2/B2)^2)</f>
        <v>411.26781477155782</v>
      </c>
      <c r="I2" s="10"/>
      <c r="J2" s="14">
        <f>(22*60)/(3.3*LOG(D2/B2))</f>
        <v>153.69080389648047</v>
      </c>
    </row>
    <row r="3" spans="1:10" x14ac:dyDescent="0.35">
      <c r="A3" s="40" t="s">
        <v>101</v>
      </c>
      <c r="B3" s="7">
        <v>62.666666666666664</v>
      </c>
      <c r="C3" s="7">
        <v>9.4516312525052015</v>
      </c>
      <c r="D3" s="7">
        <v>17400</v>
      </c>
      <c r="E3" s="7">
        <v>2773.0849247724095</v>
      </c>
      <c r="F3">
        <f t="shared" ref="F3:F6" si="0">D3/B3</f>
        <v>277.65957446808511</v>
      </c>
      <c r="G3" s="14">
        <f t="shared" ref="G3:G6" si="1">F3*SQRT((E3/D3)^2+(C3/B3)^2)</f>
        <v>60.925563213115851</v>
      </c>
      <c r="I3" s="54"/>
      <c r="J3" s="14">
        <f t="shared" ref="J3:J6" si="2">(22*60)/(3.3*LOG(D3/B3))</f>
        <v>163.6987634944303</v>
      </c>
    </row>
    <row r="4" spans="1:10" ht="20" customHeight="1" x14ac:dyDescent="0.35">
      <c r="A4" s="40" t="s">
        <v>102</v>
      </c>
      <c r="B4" s="7">
        <v>74</v>
      </c>
      <c r="C4" s="7">
        <v>15.874507866387544</v>
      </c>
      <c r="D4" s="7">
        <v>55000</v>
      </c>
      <c r="E4" s="7">
        <v>48590.122453025368</v>
      </c>
      <c r="F4">
        <f t="shared" si="0"/>
        <v>743.24324324324323</v>
      </c>
      <c r="G4" s="14">
        <f t="shared" si="1"/>
        <v>675.70370897169414</v>
      </c>
      <c r="I4" s="54"/>
      <c r="J4" s="14">
        <f t="shared" si="2"/>
        <v>139.31792182680582</v>
      </c>
    </row>
    <row r="5" spans="1:10" x14ac:dyDescent="0.35">
      <c r="A5" s="40" t="s">
        <v>103</v>
      </c>
      <c r="B5" s="7">
        <v>98</v>
      </c>
      <c r="C5" s="7">
        <v>45.738386504117088</v>
      </c>
      <c r="D5" s="7">
        <v>21566.666666666668</v>
      </c>
      <c r="E5" s="7">
        <v>12552.423404798508</v>
      </c>
      <c r="F5">
        <f t="shared" si="0"/>
        <v>220.06802721088437</v>
      </c>
      <c r="G5" s="14">
        <f t="shared" si="1"/>
        <v>164.1807120081335</v>
      </c>
      <c r="I5" s="54"/>
      <c r="J5" s="14">
        <f t="shared" si="2"/>
        <v>170.75358614278059</v>
      </c>
    </row>
    <row r="6" spans="1:10" x14ac:dyDescent="0.35">
      <c r="A6" s="40" t="s">
        <v>104</v>
      </c>
      <c r="B6" s="7">
        <v>68</v>
      </c>
      <c r="C6" s="7">
        <v>17.320508075688775</v>
      </c>
      <c r="D6" s="7">
        <v>5.333333333333333</v>
      </c>
      <c r="E6" s="7">
        <v>5.0332229568471671</v>
      </c>
      <c r="F6">
        <f t="shared" si="0"/>
        <v>7.8431372549019607E-2</v>
      </c>
      <c r="G6" s="14">
        <f t="shared" si="1"/>
        <v>7.6666572096970476E-2</v>
      </c>
      <c r="J6" s="14">
        <f t="shared" si="2"/>
        <v>-361.82389408129143</v>
      </c>
    </row>
    <row r="18" spans="9:13" x14ac:dyDescent="0.35">
      <c r="M18" s="60"/>
    </row>
    <row r="25" spans="9:13" x14ac:dyDescent="0.35">
      <c r="I25" s="62"/>
    </row>
  </sheetData>
  <phoneticPr fontId="4" type="noConversion"/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Plate Needs</vt:lpstr>
      <vt:lpstr>Inoculum</vt:lpstr>
      <vt:lpstr>T=2</vt:lpstr>
      <vt:lpstr>T=24</vt:lpstr>
      <vt:lpstr>2 vs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Hannah Trautmann</cp:lastModifiedBy>
  <cp:lastPrinted>2019-12-31T16:50:48Z</cp:lastPrinted>
  <dcterms:created xsi:type="dcterms:W3CDTF">2016-02-15T21:32:37Z</dcterms:created>
  <dcterms:modified xsi:type="dcterms:W3CDTF">2021-02-08T15:29:43Z</dcterms:modified>
</cp:coreProperties>
</file>