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Macrophage assays\"/>
    </mc:Choice>
  </mc:AlternateContent>
  <xr:revisionPtr revIDLastSave="0" documentId="13_ncr:1_{02F3D2FC-8554-4193-BC7E-D55ABD823836}" xr6:coauthVersionLast="46" xr6:coauthVersionMax="46" xr10:uidLastSave="{00000000-0000-0000-0000-000000000000}"/>
  <bookViews>
    <workbookView xWindow="1380" yWindow="680" windowWidth="16080" windowHeight="8460" tabRatio="500" firstSheet="2" activeTab="7" xr2:uid="{00000000-000D-0000-FFFF-FFFF00000000}"/>
  </bookViews>
  <sheets>
    <sheet name="ExperimentalSetup" sheetId="1" r:id="rId1"/>
    <sheet name="Plate Needs" sheetId="5" r:id="rId2"/>
    <sheet name="Counts" sheetId="4" r:id="rId3"/>
    <sheet name="qPCR Values" sheetId="9" r:id="rId4"/>
    <sheet name="Inoculum" sheetId="12" r:id="rId5"/>
    <sheet name="T=2" sheetId="10" r:id="rId6"/>
    <sheet name="T=24" sheetId="13" r:id="rId7"/>
    <sheet name="2 vs 24" sheetId="14" r:id="rId8"/>
  </sheets>
  <calcPr calcId="191029" concurrentCalc="0"/>
</workbook>
</file>

<file path=xl/calcChain.xml><?xml version="1.0" encoding="utf-8"?>
<calcChain xmlns="http://schemas.openxmlformats.org/spreadsheetml/2006/main">
  <c r="G4" i="10" l="1"/>
  <c r="G5" i="10"/>
  <c r="G6" i="10"/>
  <c r="G7" i="10"/>
  <c r="G8" i="10"/>
  <c r="G9" i="10"/>
  <c r="G10" i="10"/>
  <c r="G11" i="10"/>
  <c r="G3" i="10"/>
  <c r="M5" i="12"/>
  <c r="M7" i="12"/>
  <c r="M3" i="12"/>
  <c r="L4" i="13"/>
  <c r="L5" i="13"/>
  <c r="L6" i="13"/>
  <c r="L7" i="13"/>
  <c r="L8" i="13"/>
  <c r="L3" i="13"/>
  <c r="I8" i="13"/>
  <c r="I7" i="13"/>
  <c r="E8" i="13"/>
  <c r="E7" i="13"/>
  <c r="E6" i="13"/>
  <c r="I5" i="13"/>
  <c r="E5" i="13"/>
  <c r="I4" i="13"/>
  <c r="E4" i="13"/>
  <c r="M10" i="13"/>
  <c r="M11" i="13"/>
  <c r="L10" i="13"/>
  <c r="L11" i="13"/>
  <c r="L9" i="13"/>
  <c r="K4" i="14"/>
  <c r="F4" i="14"/>
  <c r="K3" i="14"/>
  <c r="F3" i="14"/>
  <c r="K2" i="14"/>
  <c r="F2" i="14"/>
  <c r="H14" i="13"/>
  <c r="I14" i="13"/>
  <c r="D14" i="13"/>
  <c r="E14" i="13"/>
  <c r="L13" i="13"/>
  <c r="M13" i="13"/>
  <c r="M12" i="13"/>
  <c r="M9" i="13"/>
  <c r="M8" i="13"/>
  <c r="M7" i="13"/>
  <c r="M3" i="13"/>
  <c r="M4" i="13"/>
  <c r="M5" i="13"/>
  <c r="P3" i="13"/>
  <c r="M6" i="13"/>
  <c r="P5" i="13"/>
  <c r="T5" i="13"/>
  <c r="S5" i="13"/>
  <c r="Q5" i="13"/>
  <c r="P4" i="13"/>
  <c r="T4" i="13"/>
  <c r="S4" i="13"/>
  <c r="Q4" i="13"/>
  <c r="T3" i="13"/>
  <c r="Q3" i="13"/>
  <c r="H7" i="12"/>
  <c r="D9" i="12"/>
  <c r="E9" i="12"/>
  <c r="F9" i="12"/>
  <c r="H8" i="12"/>
  <c r="I7" i="12"/>
  <c r="K7" i="12"/>
  <c r="J7" i="12"/>
  <c r="L7" i="12"/>
  <c r="H6" i="12"/>
  <c r="H5" i="12"/>
  <c r="I5" i="12"/>
  <c r="K5" i="12"/>
  <c r="J5" i="12"/>
  <c r="L5" i="12"/>
  <c r="H4" i="12"/>
  <c r="H3" i="12"/>
  <c r="I3" i="12"/>
  <c r="K3" i="12"/>
  <c r="J3" i="12"/>
  <c r="L3" i="12"/>
  <c r="F3" i="10"/>
  <c r="F4" i="10"/>
  <c r="F5" i="10"/>
  <c r="H3" i="10"/>
  <c r="K3" i="10"/>
  <c r="L3" i="10"/>
  <c r="O3" i="10"/>
  <c r="F6" i="10"/>
  <c r="F7" i="10"/>
  <c r="F8" i="10"/>
  <c r="K4" i="10"/>
  <c r="L4" i="10"/>
  <c r="N4" i="10"/>
  <c r="O4" i="10"/>
  <c r="F10" i="10"/>
  <c r="F11" i="10"/>
  <c r="K5" i="10"/>
  <c r="L5" i="10"/>
  <c r="F9" i="10"/>
  <c r="N5" i="10"/>
  <c r="O5" i="10"/>
  <c r="H6" i="10"/>
  <c r="H9" i="10"/>
  <c r="K4" i="4"/>
  <c r="K9" i="4"/>
  <c r="Q6" i="4"/>
  <c r="R6" i="4"/>
  <c r="Q5" i="4"/>
  <c r="R5" i="4"/>
  <c r="Q4" i="4"/>
  <c r="R4" i="4"/>
  <c r="K5" i="4"/>
  <c r="K6" i="4"/>
  <c r="J5" i="4"/>
  <c r="J6" i="4"/>
  <c r="J4" i="4"/>
  <c r="R9" i="4"/>
  <c r="R8" i="4"/>
  <c r="K8" i="4"/>
  <c r="E4" i="4"/>
  <c r="E8" i="4"/>
  <c r="P8" i="1"/>
  <c r="B5" i="5"/>
  <c r="B6" i="5"/>
  <c r="C6" i="5"/>
  <c r="C7" i="5"/>
  <c r="C8" i="5"/>
  <c r="B7" i="5"/>
  <c r="B8" i="5"/>
  <c r="Q8" i="1"/>
  <c r="Q24" i="1"/>
  <c r="Q10" i="1"/>
  <c r="Q18" i="1"/>
  <c r="Q20" i="1"/>
  <c r="Q22" i="1"/>
  <c r="Q4" i="1"/>
  <c r="B9" i="5"/>
  <c r="P10" i="1"/>
  <c r="P4" i="1"/>
  <c r="P18" i="1"/>
  <c r="P20" i="1"/>
  <c r="P22" i="1"/>
  <c r="P23" i="1"/>
  <c r="P24" i="1"/>
</calcChain>
</file>

<file path=xl/sharedStrings.xml><?xml version="1.0" encoding="utf-8"?>
<sst xmlns="http://schemas.openxmlformats.org/spreadsheetml/2006/main" count="237" uniqueCount="123">
  <si>
    <t xml:space="preserve"> </t>
  </si>
  <si>
    <t>Macrophage Calculations</t>
  </si>
  <si>
    <t>A</t>
  </si>
  <si>
    <t>mac only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</si>
  <si>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</si>
  <si>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</si>
  <si>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</si>
  <si>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</si>
  <si>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</si>
  <si>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</si>
  <si>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</si>
  <si>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</si>
  <si>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</si>
  <si>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</si>
  <si>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</si>
  <si>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</si>
  <si>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</si>
  <si>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</si>
  <si>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</si>
  <si>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</si>
  <si>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</si>
  <si>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</si>
  <si>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</si>
  <si>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</si>
  <si>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</si>
  <si>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</si>
  <si>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</si>
  <si>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</si>
  <si>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</si>
  <si>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Inoculum</t>
  </si>
  <si>
    <t>LVS only</t>
  </si>
  <si>
    <t>Actual</t>
  </si>
  <si>
    <t>Example</t>
  </si>
  <si>
    <t>Number of plates</t>
  </si>
  <si>
    <t>Patch strains for infections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</si>
  <si>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</si>
  <si>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</si>
  <si>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</si>
  <si>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</si>
  <si>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</si>
  <si>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</si>
  <si>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</si>
  <si>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</si>
  <si>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</si>
  <si>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</si>
  <si>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</si>
  <si>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</si>
  <si>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Desired cells per well</t>
  </si>
  <si>
    <t>C1V1=C2V2</t>
  </si>
  <si>
    <t>Average of 3 counts</t>
  </si>
  <si>
    <t>Always the same</t>
  </si>
  <si>
    <t>From last night's measurement</t>
  </si>
  <si>
    <t>Because OD needed is too small to be measured</t>
  </si>
  <si>
    <t>**hemacytometer count *2 * 10,000</t>
  </si>
  <si>
    <t>LVS</t>
  </si>
  <si>
    <t>∆pigR</t>
  </si>
  <si>
    <t>bfr:lacZ</t>
  </si>
  <si>
    <r>
      <rPr>
        <sz val="12"/>
        <color theme="1"/>
        <rFont val="Calibri"/>
        <family val="2"/>
        <scheme val="minor"/>
      </rPr>
      <t>LVS and</t>
    </r>
    <r>
      <rPr>
        <i/>
        <sz val="12"/>
        <color theme="1"/>
        <rFont val="Calibri"/>
        <family val="2"/>
        <scheme val="minor"/>
      </rPr>
      <t xml:space="preserve"> bfr:lacZ, </t>
    </r>
    <r>
      <rPr>
        <sz val="12"/>
        <color theme="1"/>
        <rFont val="Calibri"/>
        <family val="2"/>
        <scheme val="minor"/>
      </rPr>
      <t>1:1 mix</t>
    </r>
  </si>
  <si>
    <t>Square: 3 wells plated in duplicate x 3 strains; Round: 2 control wells + 3 wells plated in duplicate for dpigR</t>
  </si>
  <si>
    <t>Round</t>
  </si>
  <si>
    <t>Square</t>
  </si>
  <si>
    <t>calculated that I needed 1.75 but added 2.1 because of previous issues</t>
  </si>
  <si>
    <t>Well 1</t>
  </si>
  <si>
    <t>Well 2</t>
  </si>
  <si>
    <t>Well 3</t>
  </si>
  <si>
    <t>Total Tested</t>
  </si>
  <si>
    <t>Kan-Resistant</t>
  </si>
  <si>
    <t>Ratio</t>
  </si>
  <si>
    <t>Average</t>
  </si>
  <si>
    <t>2-hr</t>
  </si>
  <si>
    <t>24-hr</t>
  </si>
  <si>
    <t>Bfr/lacZ</t>
  </si>
  <si>
    <t>Summary Table</t>
  </si>
  <si>
    <t>st.dev</t>
  </si>
  <si>
    <t>St.Dev</t>
  </si>
  <si>
    <t>Kan-Sensitive</t>
  </si>
  <si>
    <t>Bfr-LacZ:WT</t>
  </si>
  <si>
    <t>*100 ul cells plated</t>
  </si>
  <si>
    <t>50 ul cells plated for all strains</t>
  </si>
  <si>
    <t>-</t>
  </si>
  <si>
    <t>LVS*</t>
  </si>
  <si>
    <t>macrophage*</t>
  </si>
  <si>
    <t>3C</t>
  </si>
  <si>
    <t>3B</t>
  </si>
  <si>
    <t>3A</t>
  </si>
  <si>
    <t>LVS and bfr:lacZ, 1:1 mix</t>
  </si>
  <si>
    <t>2C</t>
  </si>
  <si>
    <t>2B</t>
  </si>
  <si>
    <t>2A</t>
  </si>
  <si>
    <t>1C</t>
  </si>
  <si>
    <t>1B</t>
  </si>
  <si>
    <t>1A</t>
  </si>
  <si>
    <t>Fold Change</t>
  </si>
  <si>
    <t>T-test</t>
  </si>
  <si>
    <t>Original MOI</t>
  </si>
  <si>
    <t>St Dev</t>
  </si>
  <si>
    <t>Average CFU per well</t>
  </si>
  <si>
    <t>CFU per well</t>
  </si>
  <si>
    <t>Average Cells</t>
  </si>
  <si>
    <t>Dilution factor counted</t>
  </si>
  <si>
    <t>Plate 2</t>
  </si>
  <si>
    <t>Plate 1</t>
  </si>
  <si>
    <t>Plate</t>
  </si>
  <si>
    <t>In Vivo</t>
  </si>
  <si>
    <t>In Vitro</t>
  </si>
  <si>
    <t>Generation Times</t>
  </si>
  <si>
    <t>Fold change vs 2</t>
  </si>
  <si>
    <t>T=24</t>
  </si>
  <si>
    <t>T=2</t>
  </si>
  <si>
    <t>Replicate</t>
  </si>
  <si>
    <t>Cells / mL</t>
  </si>
  <si>
    <t>Average Cells / mL</t>
  </si>
  <si>
    <t>St dev</t>
  </si>
  <si>
    <t>CFU/well</t>
  </si>
  <si>
    <t>St dev/well</t>
  </si>
  <si>
    <t>MOI (based on number of seeded macrophage- see setup)</t>
  </si>
  <si>
    <t>Dilution Factor</t>
  </si>
  <si>
    <t>Track Plate 1</t>
  </si>
  <si>
    <t>Track Plate 2</t>
  </si>
  <si>
    <t>T-test (vs LVS)</t>
  </si>
  <si>
    <t>macrophage**</t>
  </si>
  <si>
    <t>LVS**</t>
  </si>
  <si>
    <t>**Plated 100 ul on circular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</si>
</sst>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Fill="1" applyBorder="1"/>
    <xf numFmtId="11" fontId="0" fillId="0" borderId="1" xfId="0" applyNumberFormat="1" applyFill="1" applyBorder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center"/>
    </xf>
    <xf numFmtId="1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1" fillId="0" borderId="6" xfId="0" applyFont="1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Bfr-lacZ</a:t>
            </a:r>
            <a:r>
              <a:rPr lang="en-US" baseline="0"/>
              <a:t>:WT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Counts!$F$20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Counts!$G$21:$I$21</c:f>
                <c:numCache>
                  <c:formatCode>General</c:formatCode>
                  <c:ptCount val="3"/>
                  <c:pt idx="1">
                    <c:v>2.019143228609273</c:v>
                  </c:pt>
                  <c:pt idx="2">
                    <c:v>0.10497277621629557</c:v>
                  </c:pt>
                </c:numCache>
              </c:numRef>
            </c:plus>
            <c:minus>
              <c:numRef>
                <c:f>Counts!$G$21:$I$21</c:f>
                <c:numCache>
                  <c:formatCode>General</c:formatCode>
                  <c:ptCount val="3"/>
                  <c:pt idx="1">
                    <c:v>2.019143228609273</c:v>
                  </c:pt>
                  <c:pt idx="2">
                    <c:v>0.10497277621629557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Counts!$G$19:$I$19</c:f>
              <c:strCache>
                <c:ptCount val="3"/>
                <c:pt idx="0">
                  <c:v>Inoculum</c:v>
                </c:pt>
                <c:pt idx="1">
                  <c:v>2-hr</c:v>
                </c:pt>
                <c:pt idx="2">
                  <c:v>24-hr</c:v>
                </c:pt>
              </c:strCache>
            </c:strRef>
          </c:cat>
          <c:val>
            <c:numRef>
              <c:f>Counts!$G$20:$I$20</c:f>
              <c:numCache>
                <c:formatCode>General</c:formatCode>
                <c:ptCount val="3"/>
                <c:pt idx="1">
                  <c:v>1.6689976689976689</c:v>
                </c:pt>
                <c:pt idx="2">
                  <c:v>0.8787878787878789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0-7048-A8CC-A7B2E61E7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910607"/>
        <c:axId val="451900287"/>
      </c:barChart>
      <c:catAx>
        <c:axId val="45191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900287"/>
        <c:crosses val="autoZero"/>
        <c:auto val="1"/>
        <c:lblAlgn val="ctr"/>
        <c:lblOffset val="100"/>
        <c:noMultiLvlLbl val="0"/>
      </c:catAx>
      <c:valAx>
        <c:axId val="45190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91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Inoculum!$B$11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Inoculum!$C$12:$C$14</c:f>
                <c:numCache>
                  <c:formatCode>General</c:formatCode>
                  <c:ptCount val="3"/>
                  <c:pt idx="0">
                    <c:v>3535.533905932738</c:v>
                  </c:pt>
                  <c:pt idx="1">
                    <c:v>7071.067811865476</c:v>
                  </c:pt>
                  <c:pt idx="2">
                    <c:v>10606.601717798214</c:v>
                  </c:pt>
                </c:numCache>
              </c:numRef>
            </c:plus>
            <c:minus>
              <c:numRef>
                <c:f>Inoculum!$C$12:$C$14</c:f>
                <c:numCache>
                  <c:formatCode>General</c:formatCode>
                  <c:ptCount val="3"/>
                  <c:pt idx="0">
                    <c:v>3535.533905932738</c:v>
                  </c:pt>
                  <c:pt idx="1">
                    <c:v>7071.067811865476</c:v>
                  </c:pt>
                  <c:pt idx="2">
                    <c:v>10606.601717798214</c:v>
                  </c:pt>
                </c:numCache>
              </c:numRef>
            </c:minus>
          </c:errBars>
          <c:cat>
            <c:strRef>
              <c:f>Inoculum!$A$12:$A$14</c:f>
              <c:strCache>
                <c:ptCount val="3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</c:strCache>
            </c:strRef>
          </c:cat>
          <c:val>
            <c:numRef>
              <c:f>Inoculum!$B$12:$B$14</c:f>
              <c:numCache>
                <c:formatCode>0.00E+00</c:formatCode>
                <c:ptCount val="3"/>
                <c:pt idx="0">
                  <c:v>112500</c:v>
                </c:pt>
                <c:pt idx="1">
                  <c:v>115000</c:v>
                </c:pt>
                <c:pt idx="2">
                  <c:v>227500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9-A244-9C0B-9F1D0A210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'T=2'!$L$3:$L$5</c:f>
                <c:numCache>
                  <c:formatCode>General</c:formatCode>
                  <c:ptCount val="3"/>
                  <c:pt idx="0">
                    <c:v>11.718930554164629</c:v>
                  </c:pt>
                  <c:pt idx="1">
                    <c:v>2.3094010767584989</c:v>
                  </c:pt>
                  <c:pt idx="2">
                    <c:v>9.8994949366116654</c:v>
                  </c:pt>
                </c:numCache>
              </c:numRef>
            </c:plus>
            <c:minus>
              <c:numRef>
                <c:f>'T=2'!$L$3:$L$5</c:f>
                <c:numCache>
                  <c:formatCode>General</c:formatCode>
                  <c:ptCount val="3"/>
                  <c:pt idx="0">
                    <c:v>11.718930554164629</c:v>
                  </c:pt>
                  <c:pt idx="1">
                    <c:v>2.3094010767584989</c:v>
                  </c:pt>
                  <c:pt idx="2">
                    <c:v>9.8994949366116654</c:v>
                  </c:pt>
                </c:numCache>
              </c:numRef>
            </c:minus>
          </c:errBars>
          <c:cat>
            <c:strRef>
              <c:f>'T=2'!$J$3:$J$5</c:f>
              <c:strCache>
                <c:ptCount val="3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</c:strCache>
            </c:strRef>
          </c:cat>
          <c:val>
            <c:numRef>
              <c:f>'T=2'!$K$3:$K$5</c:f>
              <c:numCache>
                <c:formatCode>0.00E+00</c:formatCode>
                <c:ptCount val="3"/>
                <c:pt idx="0">
                  <c:v>17.333333333333332</c:v>
                </c:pt>
                <c:pt idx="1">
                  <c:v>13.333333333333334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8-4A46-BA71-A7B94B6FF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'T=24'!$Q$3:$Q$5</c:f>
                <c:numCache>
                  <c:formatCode>General</c:formatCode>
                  <c:ptCount val="3"/>
                  <c:pt idx="0">
                    <c:v>6422.097269065097</c:v>
                  </c:pt>
                  <c:pt idx="1">
                    <c:v>3852.7046776690859</c:v>
                  </c:pt>
                  <c:pt idx="2">
                    <c:v>10263.202878893777</c:v>
                  </c:pt>
                </c:numCache>
              </c:numRef>
            </c:plus>
            <c:minus>
              <c:numRef>
                <c:f>'T=24'!$Q$3:$Q$5</c:f>
                <c:numCache>
                  <c:formatCode>General</c:formatCode>
                  <c:ptCount val="3"/>
                  <c:pt idx="0">
                    <c:v>6422.097269065097</c:v>
                  </c:pt>
                  <c:pt idx="1">
                    <c:v>3852.7046776690859</c:v>
                  </c:pt>
                  <c:pt idx="2">
                    <c:v>10263.202878893777</c:v>
                  </c:pt>
                </c:numCache>
              </c:numRef>
            </c:minus>
          </c:errBars>
          <c:cat>
            <c:strRef>
              <c:f>'T=24'!$O$3:$O$5</c:f>
              <c:strCache>
                <c:ptCount val="3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</c:strCache>
            </c:strRef>
          </c:cat>
          <c:val>
            <c:numRef>
              <c:f>'T=24'!$P$3:$P$5</c:f>
              <c:numCache>
                <c:formatCode>0.00E+00</c:formatCode>
                <c:ptCount val="3"/>
                <c:pt idx="0">
                  <c:v>21166.666666666668</c:v>
                </c:pt>
                <c:pt idx="1">
                  <c:v>18166.666666666668</c:v>
                </c:pt>
                <c:pt idx="2">
                  <c:v>39333.333333333336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5-EF42-BA20-71172D579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vs 24'!$B$1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24'!$C$2:$C$4</c:f>
                <c:numCache>
                  <c:formatCode>General</c:formatCode>
                  <c:ptCount val="3"/>
                  <c:pt idx="0">
                    <c:v>7.8126203694430867</c:v>
                  </c:pt>
                  <c:pt idx="1">
                    <c:v>1.5396007178390008</c:v>
                  </c:pt>
                  <c:pt idx="2">
                    <c:v>6.5996632910744424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24'!$A$2:$A$4</c:f>
              <c:strCache>
                <c:ptCount val="3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</c:strCache>
            </c:strRef>
          </c:cat>
          <c:val>
            <c:numRef>
              <c:f>'2 vs 24'!$B$2:$B$4</c:f>
              <c:numCache>
                <c:formatCode>0.00E+00</c:formatCode>
                <c:ptCount val="3"/>
                <c:pt idx="0">
                  <c:v>17.333333333333332</c:v>
                </c:pt>
                <c:pt idx="1">
                  <c:v>13.333333333333334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0-414C-9280-E813609D3BCA}"/>
            </c:ext>
          </c:extLst>
        </c:ser>
        <c:ser>
          <c:idx val="1"/>
          <c:order val="1"/>
          <c:tx>
            <c:strRef>
              <c:f>'2 vs 24'!$D$1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24'!$E$2:$E$4</c:f>
                <c:numCache>
                  <c:formatCode>General</c:formatCode>
                  <c:ptCount val="3"/>
                  <c:pt idx="0">
                    <c:v>6422.097269065097</c:v>
                  </c:pt>
                  <c:pt idx="1">
                    <c:v>3852.7046776690859</c:v>
                  </c:pt>
                  <c:pt idx="2">
                    <c:v>10263.202878893777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24'!$A$2:$A$4</c:f>
              <c:strCache>
                <c:ptCount val="3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</c:strCache>
            </c:strRef>
          </c:cat>
          <c:val>
            <c:numRef>
              <c:f>'2 vs 24'!$D$2:$D$4</c:f>
              <c:numCache>
                <c:formatCode>General</c:formatCode>
                <c:ptCount val="3"/>
                <c:pt idx="0">
                  <c:v>21166.666666666668</c:v>
                </c:pt>
                <c:pt idx="1">
                  <c:v>18166.666666666668</c:v>
                </c:pt>
                <c:pt idx="2">
                  <c:v>39333.333333333336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20-414C-9280-E813609D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0370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56259400159282E-2"/>
          <c:y val="0.89274093708583457"/>
          <c:w val="0.1534086525701141"/>
          <c:h val="7.1615498557729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 (2 vs 24 hours)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vs 24'!$A$1:$A$4</c:f>
              <c:strCache>
                <c:ptCount val="4"/>
                <c:pt idx="1">
                  <c:v>LVS</c:v>
                </c:pt>
                <c:pt idx="2">
                  <c:v>bfr:lacZ</c:v>
                </c:pt>
                <c:pt idx="3">
                  <c:v>LVS and bfr:lacZ, 1:1 mix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vs 24'!$A$2:$A$4</c:f>
              <c:strCache>
                <c:ptCount val="3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</c:strCache>
            </c:strRef>
          </c:cat>
          <c:val>
            <c:numRef>
              <c:f>'2 vs 24'!$F$2:$F$4</c:f>
              <c:numCache>
                <c:formatCode>General</c:formatCode>
                <c:ptCount val="3"/>
                <c:pt idx="0">
                  <c:v>1221.1538461538464</c:v>
                </c:pt>
                <c:pt idx="1">
                  <c:v>1362.5</c:v>
                </c:pt>
                <c:pt idx="2">
                  <c:v>1456.7901234567903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B-0047-A733-F87FFF95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720368"/>
        <c:axId val="196765184"/>
      </c:barChart>
      <c:catAx>
        <c:axId val="25372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65184"/>
        <c:crosses val="autoZero"/>
        <c:auto val="1"/>
        <c:lblAlgn val="ctr"/>
        <c:lblOffset val="100"/>
        <c:noMultiLvlLbl val="0"/>
      </c:catAx>
      <c:valAx>
        <c:axId val="1967651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2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539750</xdr:colOff>
      <xdr:row>11</xdr:row>
      <xdr:rowOff>31750</xdr:rowOff>
    </xdr:from>
    <xdr:to>
      <xdr:col>16</xdr:col>
      <xdr:colOff>438150</xdr:colOff>
      <xdr:row>24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CDAFC3-6E9A-0540-A9A2-214800073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10</xdr:row>
      <xdr:rowOff>25400</xdr:rowOff>
    </xdr:from>
    <xdr:to>
      <xdr:col>10</xdr:col>
      <xdr:colOff>527050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2F5D25-A909-BE4B-AB9C-EC9BEA0FD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44450</xdr:colOff>
      <xdr:row>11</xdr:row>
      <xdr:rowOff>0</xdr:rowOff>
    </xdr:from>
    <xdr:to>
      <xdr:col>15</xdr:col>
      <xdr:colOff>742950</xdr:colOff>
      <xdr:row>27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7ED615-ADEA-EB4F-8D20-04229BB4F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8</xdr:row>
      <xdr:rowOff>88900</xdr:rowOff>
    </xdr:from>
    <xdr:to>
      <xdr:col>24</xdr:col>
      <xdr:colOff>215900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9BBCC9-2094-2548-A204-C15FFA5B6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4</xdr:row>
      <xdr:rowOff>177800</xdr:rowOff>
    </xdr:from>
    <xdr:to>
      <xdr:col>18</xdr:col>
      <xdr:colOff>254000</xdr:colOff>
      <xdr:row>21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AE6B2F-8D43-A04F-8776-3EFA91D5D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368300</xdr:colOff>
      <xdr:row>23</xdr:row>
      <xdr:rowOff>73025</xdr:rowOff>
    </xdr:from>
    <xdr:to>
      <xdr:col>12</xdr:col>
      <xdr:colOff>317500</xdr:colOff>
      <xdr:row>37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F6AFCD-B581-574D-A141-140D8CE8A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showRuler="0" topLeftCell="L1" zoomScale="125" zoomScaleNormal="125" zoomScalePageLayoutView="125" workbookViewId="0">
      <selection activeCell="P10" sqref="P10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7" width="10.83203125" bestFit="1" customWidth="1"/>
    <col min="8" max="8" width="11.83203125" customWidth="1"/>
    <col min="9" max="9" width="4.33203125" customWidth="1"/>
    <col min="10" max="10" width="16.33203125" customWidth="1"/>
    <col min="11" max="11" width="12.33203125" customWidth="1"/>
    <col min="12" max="13" width="4.33203125" customWidth="1"/>
    <col min="14" max="14" width="3.5" customWidth="1"/>
    <col min="15" max="15" width="29.6640625" bestFit="1" customWidth="1"/>
    <col min="16" max="16" width="9.16406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31</v>
      </c>
      <c r="Q1" s="3" t="s">
        <v>32</v>
      </c>
      <c r="R1" s="27" t="s">
        <v>37</v>
      </c>
    </row>
    <row r="2" spans="1:24" ht="46.5" x14ac:dyDescent="0.35">
      <c r="A2" s="4" t="s">
        <v>2</v>
      </c>
      <c r="B2" s="25" t="s">
        <v>57</v>
      </c>
      <c r="C2" s="25" t="s">
        <v>57</v>
      </c>
      <c r="D2" s="25" t="s">
        <v>57</v>
      </c>
      <c r="E2" s="6"/>
      <c r="F2" s="25" t="s">
        <v>57</v>
      </c>
      <c r="G2" s="25" t="s">
        <v>57</v>
      </c>
      <c r="H2" s="25" t="s">
        <v>57</v>
      </c>
      <c r="I2" s="5"/>
      <c r="J2" s="6" t="s">
        <v>30</v>
      </c>
      <c r="K2" s="6"/>
      <c r="L2" s="6" t="s">
        <v>3</v>
      </c>
      <c r="M2" s="6"/>
      <c r="O2" s="1" t="s">
        <v>47</v>
      </c>
      <c r="P2" s="7">
        <v>25000</v>
      </c>
      <c r="Q2" s="7">
        <v>20000</v>
      </c>
      <c r="R2" t="s">
        <v>50</v>
      </c>
    </row>
    <row r="3" spans="1:24" x14ac:dyDescent="0.35">
      <c r="A3" s="4" t="s">
        <v>4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5</v>
      </c>
      <c r="P3" s="1">
        <v>0.2</v>
      </c>
      <c r="Q3" s="1">
        <v>0.2</v>
      </c>
      <c r="R3" t="s">
        <v>50</v>
      </c>
    </row>
    <row r="4" spans="1:24" x14ac:dyDescent="0.35">
      <c r="A4" s="4" t="s">
        <v>6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7</v>
      </c>
      <c r="P4" s="7">
        <f>P2/P3</f>
        <v>125000</v>
      </c>
      <c r="Q4" s="7">
        <f>Q2/Q3</f>
        <v>100000</v>
      </c>
    </row>
    <row r="5" spans="1:24" x14ac:dyDescent="0.35">
      <c r="A5" s="4"/>
      <c r="E5" s="25"/>
      <c r="F5" s="25"/>
      <c r="G5" s="25"/>
      <c r="H5" s="25"/>
      <c r="I5" s="9"/>
      <c r="J5" s="6"/>
      <c r="K5" s="6"/>
      <c r="M5" s="1"/>
      <c r="O5" s="1" t="s">
        <v>9</v>
      </c>
      <c r="P5" s="1">
        <v>3.5</v>
      </c>
      <c r="Q5" s="1">
        <v>7</v>
      </c>
      <c r="R5" t="s">
        <v>50</v>
      </c>
    </row>
    <row r="6" spans="1:24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11</v>
      </c>
      <c r="P6" s="28">
        <v>250000</v>
      </c>
      <c r="Q6" s="7">
        <v>210000</v>
      </c>
      <c r="R6" t="s">
        <v>53</v>
      </c>
    </row>
    <row r="7" spans="1:24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13</v>
      </c>
      <c r="P7" s="29">
        <v>2.1</v>
      </c>
      <c r="Q7" s="21">
        <v>3.5</v>
      </c>
      <c r="R7" s="13" t="s">
        <v>48</v>
      </c>
      <c r="S7" t="s">
        <v>61</v>
      </c>
    </row>
    <row r="8" spans="1:24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15</v>
      </c>
      <c r="P8" s="29">
        <f>P5-P7</f>
        <v>1.4</v>
      </c>
      <c r="Q8" s="21">
        <f>Q5-Q7</f>
        <v>3.5</v>
      </c>
      <c r="V8" s="13"/>
      <c r="X8" s="13"/>
    </row>
    <row r="9" spans="1:24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17</v>
      </c>
      <c r="P9" s="28">
        <v>151700</v>
      </c>
      <c r="Q9" s="7">
        <v>92500</v>
      </c>
      <c r="R9" t="s">
        <v>49</v>
      </c>
    </row>
    <row r="10" spans="1:24" x14ac:dyDescent="0.35">
      <c r="H10" s="13"/>
      <c r="O10" s="1" t="s">
        <v>18</v>
      </c>
      <c r="P10" s="28">
        <f>P9*0.2</f>
        <v>30340</v>
      </c>
      <c r="Q10" s="7">
        <f>Q9*0.2</f>
        <v>18500</v>
      </c>
    </row>
    <row r="15" spans="1:24" x14ac:dyDescent="0.35">
      <c r="C15" s="14"/>
      <c r="P15" t="s">
        <v>20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19</v>
      </c>
      <c r="P16" s="3" t="s">
        <v>31</v>
      </c>
      <c r="Q16" s="3" t="s">
        <v>32</v>
      </c>
      <c r="R16" s="27" t="s">
        <v>37</v>
      </c>
    </row>
    <row r="17" spans="1:18" ht="46.5" x14ac:dyDescent="0.35">
      <c r="A17" s="4" t="s">
        <v>2</v>
      </c>
      <c r="B17" s="25" t="s">
        <v>57</v>
      </c>
      <c r="C17" s="25" t="s">
        <v>57</v>
      </c>
      <c r="D17" s="25" t="s">
        <v>57</v>
      </c>
      <c r="E17" s="6"/>
      <c r="F17" s="25" t="s">
        <v>57</v>
      </c>
      <c r="G17" s="25" t="s">
        <v>57</v>
      </c>
      <c r="H17" s="25" t="s">
        <v>57</v>
      </c>
      <c r="I17" s="5"/>
      <c r="J17" s="6" t="s">
        <v>30</v>
      </c>
      <c r="K17" s="6"/>
      <c r="L17" s="6" t="s">
        <v>3</v>
      </c>
      <c r="M17" s="6"/>
      <c r="O17" s="1" t="s">
        <v>21</v>
      </c>
      <c r="P17" s="15">
        <v>5</v>
      </c>
      <c r="Q17" s="15">
        <v>5</v>
      </c>
      <c r="R17" t="s">
        <v>50</v>
      </c>
    </row>
    <row r="18" spans="1:18" x14ac:dyDescent="0.35">
      <c r="A18" s="4" t="s">
        <v>4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22</v>
      </c>
      <c r="P18" s="16">
        <f>P10</f>
        <v>30340</v>
      </c>
      <c r="Q18" s="16">
        <f>Q10</f>
        <v>18500</v>
      </c>
      <c r="R18" t="s">
        <v>51</v>
      </c>
    </row>
    <row r="19" spans="1:18" x14ac:dyDescent="0.35">
      <c r="A19" s="4" t="s">
        <v>6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23</v>
      </c>
      <c r="P19" s="15">
        <v>0.05</v>
      </c>
      <c r="Q19" s="15">
        <v>0.05</v>
      </c>
      <c r="R19" t="s">
        <v>50</v>
      </c>
    </row>
    <row r="20" spans="1:18" ht="59" customHeight="1" x14ac:dyDescent="0.35">
      <c r="A20" s="4" t="s">
        <v>8</v>
      </c>
      <c r="B20" s="25"/>
      <c r="C20" s="25"/>
      <c r="D20" s="25"/>
      <c r="E20" s="25"/>
      <c r="F20" s="25"/>
      <c r="G20" s="25"/>
      <c r="H20" s="25"/>
      <c r="I20" s="9"/>
      <c r="J20" s="6"/>
      <c r="K20" s="6"/>
      <c r="M20" s="1"/>
      <c r="O20" s="17" t="s">
        <v>24</v>
      </c>
      <c r="P20" s="16">
        <f>(P18*P17/P19)</f>
        <v>3034000</v>
      </c>
      <c r="Q20" s="16">
        <f>(Q18*Q17/Q19)</f>
        <v>1850000</v>
      </c>
    </row>
    <row r="21" spans="1:18" x14ac:dyDescent="0.35">
      <c r="A21" s="4" t="s">
        <v>10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25</v>
      </c>
      <c r="P21" s="16">
        <v>5810000000</v>
      </c>
      <c r="Q21" s="16">
        <v>5810000000</v>
      </c>
      <c r="R21" t="s">
        <v>50</v>
      </c>
    </row>
    <row r="22" spans="1:18" x14ac:dyDescent="0.35">
      <c r="A22" s="4" t="s">
        <v>12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26</v>
      </c>
      <c r="P22" s="18">
        <f>P20/P21</f>
        <v>5.2220309810671259E-4</v>
      </c>
      <c r="Q22" s="18">
        <f>Q20/Q21</f>
        <v>3.1841652323580036E-4</v>
      </c>
    </row>
    <row r="23" spans="1:18" x14ac:dyDescent="0.35">
      <c r="A23" s="4" t="s">
        <v>14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27</v>
      </c>
      <c r="P23" s="30">
        <f>P22*100</f>
        <v>5.2220309810671259E-2</v>
      </c>
      <c r="Q23" s="19">
        <v>0.03</v>
      </c>
      <c r="R23" t="s">
        <v>52</v>
      </c>
    </row>
    <row r="24" spans="1:18" x14ac:dyDescent="0.35">
      <c r="A24" s="4" t="s">
        <v>16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28</v>
      </c>
      <c r="P24" s="31">
        <f>P23/100</f>
        <v>5.2220309810671259E-4</v>
      </c>
      <c r="Q24" s="1">
        <f>Q23/100</f>
        <v>2.9999999999999997E-4</v>
      </c>
    </row>
    <row r="25" spans="1:18" x14ac:dyDescent="0.35">
      <c r="C25" s="14"/>
    </row>
    <row r="26" spans="1:18" x14ac:dyDescent="0.35">
      <c r="C26" s="14"/>
      <c r="G26" s="10">
        <v>1</v>
      </c>
      <c r="H26" s="9" t="s">
        <v>54</v>
      </c>
      <c r="P26" t="s">
        <v>0</v>
      </c>
    </row>
    <row r="27" spans="1:18" x14ac:dyDescent="0.35">
      <c r="G27" s="10">
        <v>2</v>
      </c>
      <c r="H27" s="25" t="s">
        <v>56</v>
      </c>
    </row>
    <row r="28" spans="1:18" ht="46.5" x14ac:dyDescent="0.35">
      <c r="G28" s="10">
        <v>3</v>
      </c>
      <c r="H28" s="25" t="s">
        <v>57</v>
      </c>
    </row>
    <row r="29" spans="1:18" x14ac:dyDescent="0.35">
      <c r="G29" s="10">
        <v>4</v>
      </c>
      <c r="H29" s="25" t="s">
        <v>55</v>
      </c>
      <c r="R29" s="13"/>
    </row>
    <row r="30" spans="1:18" x14ac:dyDescent="0.35">
      <c r="H30" s="26"/>
    </row>
  </sheetData>
  <phoneticPr fontId="2" type="noConversion"/>
  <pageMargins left="0.75" right="0.75" top="1" bottom="1" header="0.5" footer="0.5"/>
  <pageSetup scale="53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E9"/>
  <sheetViews>
    <sheetView workbookViewId="0">
      <selection activeCell="B6" sqref="B6"/>
    </sheetView>
  </sheetViews>
  <sheetFormatPr defaultColWidth="10.6640625" defaultRowHeight="15.5" x14ac:dyDescent="0.35"/>
  <cols>
    <col min="1" max="1" width="34.6640625" bestFit="1" customWidth="1"/>
    <col min="2" max="2" width="15.33203125" customWidth="1"/>
    <col min="3" max="3" width="13.1640625" customWidth="1"/>
    <col min="4" max="4" width="41" customWidth="1"/>
    <col min="5" max="5" width="16.5" customWidth="1"/>
    <col min="6" max="6" width="70.83203125" customWidth="1"/>
  </cols>
  <sheetData>
    <row r="1" spans="1:5" x14ac:dyDescent="0.35">
      <c r="B1" s="51" t="s">
        <v>33</v>
      </c>
      <c r="C1" s="51"/>
      <c r="D1" s="51"/>
      <c r="E1" s="51"/>
    </row>
    <row r="2" spans="1:5" x14ac:dyDescent="0.35">
      <c r="A2" s="20" t="s">
        <v>46</v>
      </c>
      <c r="B2" s="32" t="s">
        <v>59</v>
      </c>
      <c r="C2" s="32" t="s">
        <v>60</v>
      </c>
      <c r="D2" s="20" t="s">
        <v>37</v>
      </c>
    </row>
    <row r="3" spans="1:5" x14ac:dyDescent="0.35">
      <c r="A3" s="1" t="s">
        <v>34</v>
      </c>
      <c r="B3" s="23">
        <v>2</v>
      </c>
      <c r="C3" s="23"/>
      <c r="D3" s="1" t="s">
        <v>38</v>
      </c>
    </row>
    <row r="4" spans="1:5" x14ac:dyDescent="0.35">
      <c r="A4" s="1" t="s">
        <v>35</v>
      </c>
      <c r="B4" s="23"/>
      <c r="C4" s="23">
        <v>2</v>
      </c>
      <c r="D4" s="1" t="s">
        <v>39</v>
      </c>
    </row>
    <row r="5" spans="1:5" x14ac:dyDescent="0.35">
      <c r="A5" s="1" t="s">
        <v>36</v>
      </c>
      <c r="B5" s="23">
        <f>3*2+2</f>
        <v>8</v>
      </c>
      <c r="C5" s="23"/>
      <c r="D5" s="1" t="s">
        <v>40</v>
      </c>
    </row>
    <row r="6" spans="1:5" ht="46.5" x14ac:dyDescent="0.35">
      <c r="A6" s="1" t="s">
        <v>41</v>
      </c>
      <c r="B6">
        <f>2</f>
        <v>2</v>
      </c>
      <c r="C6" s="15">
        <f>3*2</f>
        <v>6</v>
      </c>
      <c r="D6" s="17" t="s">
        <v>58</v>
      </c>
    </row>
    <row r="7" spans="1:5" x14ac:dyDescent="0.35">
      <c r="A7" s="20" t="s">
        <v>42</v>
      </c>
      <c r="B7" s="22">
        <f t="shared" ref="B7:C7" si="0">SUM(B3:B6)</f>
        <v>12</v>
      </c>
      <c r="C7" s="22">
        <f t="shared" si="0"/>
        <v>8</v>
      </c>
      <c r="D7" s="1"/>
    </row>
    <row r="8" spans="1:5" x14ac:dyDescent="0.35">
      <c r="A8" s="1" t="s">
        <v>43</v>
      </c>
      <c r="B8" s="15">
        <f t="shared" ref="B8" si="1">B7/25</f>
        <v>0.48</v>
      </c>
      <c r="C8" s="15">
        <f>C7/20</f>
        <v>0.4</v>
      </c>
      <c r="D8" s="1" t="s">
        <v>45</v>
      </c>
    </row>
    <row r="9" spans="1:5" x14ac:dyDescent="0.35">
      <c r="A9" s="20" t="s">
        <v>44</v>
      </c>
      <c r="B9" s="22">
        <f>SUM(B8:C8)</f>
        <v>0.88</v>
      </c>
      <c r="C9" s="33"/>
      <c r="D9" s="33"/>
      <c r="E9" s="24"/>
    </row>
  </sheetData>
  <mergeCells count="1">
    <mergeCell ref="B1:E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1"/>
  <sheetViews>
    <sheetView showRuler="0" workbookViewId="0">
      <selection activeCell="J13" sqref="J13"/>
    </sheetView>
  </sheetViews>
  <sheetFormatPr defaultColWidth="10.6640625" defaultRowHeight="15.5" x14ac:dyDescent="0.35"/>
  <cols>
    <col min="6" max="6" width="17.33203125" customWidth="1"/>
    <col min="7" max="7" width="12.33203125" customWidth="1"/>
    <col min="8" max="9" width="7" bestFit="1" customWidth="1"/>
    <col min="10" max="10" width="11.5" customWidth="1"/>
    <col min="11" max="11" width="7.83203125" bestFit="1" customWidth="1"/>
    <col min="12" max="12" width="8.83203125" bestFit="1" customWidth="1"/>
    <col min="13" max="13" width="8.1640625" customWidth="1"/>
    <col min="15" max="15" width="17" customWidth="1"/>
    <col min="16" max="17" width="8.83203125" bestFit="1" customWidth="1"/>
    <col min="18" max="18" width="7.6640625" bestFit="1" customWidth="1"/>
    <col min="19" max="19" width="6" bestFit="1" customWidth="1"/>
    <col min="20" max="20" width="7.33203125" bestFit="1" customWidth="1"/>
  </cols>
  <sheetData>
    <row r="1" spans="1:18" x14ac:dyDescent="0.35">
      <c r="A1" t="s">
        <v>29</v>
      </c>
      <c r="G1" t="s">
        <v>69</v>
      </c>
      <c r="N1" t="s">
        <v>70</v>
      </c>
    </row>
    <row r="3" spans="1:18" ht="15" customHeight="1" x14ac:dyDescent="0.35">
      <c r="B3" t="s">
        <v>65</v>
      </c>
      <c r="C3" t="s">
        <v>71</v>
      </c>
      <c r="E3" t="s">
        <v>67</v>
      </c>
      <c r="H3" t="s">
        <v>65</v>
      </c>
      <c r="I3" t="s">
        <v>66</v>
      </c>
      <c r="J3" t="s">
        <v>75</v>
      </c>
      <c r="K3" t="s">
        <v>76</v>
      </c>
      <c r="O3" t="s">
        <v>65</v>
      </c>
      <c r="P3" t="s">
        <v>66</v>
      </c>
      <c r="Q3" t="s">
        <v>75</v>
      </c>
      <c r="R3" t="s">
        <v>76</v>
      </c>
    </row>
    <row r="4" spans="1:18" x14ac:dyDescent="0.35">
      <c r="B4">
        <v>40</v>
      </c>
      <c r="E4">
        <f>C4/B4</f>
        <v>0</v>
      </c>
      <c r="G4" t="s">
        <v>62</v>
      </c>
      <c r="H4">
        <v>19</v>
      </c>
      <c r="I4">
        <v>6</v>
      </c>
      <c r="J4">
        <f>H4-I4</f>
        <v>13</v>
      </c>
      <c r="K4">
        <f>I4/J4</f>
        <v>0.46153846153846156</v>
      </c>
      <c r="N4" t="s">
        <v>62</v>
      </c>
      <c r="O4">
        <v>40</v>
      </c>
      <c r="P4">
        <v>20</v>
      </c>
      <c r="Q4">
        <f>O4-P4</f>
        <v>20</v>
      </c>
      <c r="R4">
        <f>P4/Q4</f>
        <v>1</v>
      </c>
    </row>
    <row r="5" spans="1:18" ht="15" customHeight="1" x14ac:dyDescent="0.35">
      <c r="G5" t="s">
        <v>63</v>
      </c>
      <c r="H5">
        <v>17</v>
      </c>
      <c r="I5">
        <v>6</v>
      </c>
      <c r="J5">
        <f t="shared" ref="J5:J6" si="0">H5-I5</f>
        <v>11</v>
      </c>
      <c r="K5">
        <f t="shared" ref="K5:K6" si="1">I5/J5</f>
        <v>0.54545454545454541</v>
      </c>
      <c r="N5" t="s">
        <v>63</v>
      </c>
      <c r="O5">
        <v>40</v>
      </c>
      <c r="P5">
        <v>18</v>
      </c>
      <c r="Q5">
        <f t="shared" ref="Q5:Q6" si="2">O5-P5</f>
        <v>22</v>
      </c>
      <c r="R5">
        <f t="shared" ref="R5:R6" si="3">P5/Q5</f>
        <v>0.81818181818181823</v>
      </c>
    </row>
    <row r="6" spans="1:18" x14ac:dyDescent="0.35">
      <c r="G6" t="s">
        <v>64</v>
      </c>
      <c r="H6">
        <v>10</v>
      </c>
      <c r="I6">
        <v>8</v>
      </c>
      <c r="J6">
        <f t="shared" si="0"/>
        <v>2</v>
      </c>
      <c r="K6">
        <f t="shared" si="1"/>
        <v>4</v>
      </c>
      <c r="N6" t="s">
        <v>64</v>
      </c>
      <c r="O6">
        <v>40</v>
      </c>
      <c r="P6">
        <v>18</v>
      </c>
      <c r="Q6">
        <f t="shared" si="2"/>
        <v>22</v>
      </c>
      <c r="R6">
        <f t="shared" si="3"/>
        <v>0.81818181818181823</v>
      </c>
    </row>
    <row r="8" spans="1:18" x14ac:dyDescent="0.35">
      <c r="D8" t="s">
        <v>68</v>
      </c>
      <c r="E8">
        <f>AVERAGE(E4:E6)</f>
        <v>0</v>
      </c>
      <c r="J8" t="s">
        <v>68</v>
      </c>
      <c r="K8">
        <f>AVERAGE(K4:K6)</f>
        <v>1.6689976689976689</v>
      </c>
      <c r="Q8" t="s">
        <v>68</v>
      </c>
      <c r="R8">
        <f>AVERAGE(R4:R6)</f>
        <v>0.8787878787878789</v>
      </c>
    </row>
    <row r="9" spans="1:18" x14ac:dyDescent="0.35">
      <c r="J9" t="s">
        <v>73</v>
      </c>
      <c r="K9">
        <f>STDEV(K4:K6)</f>
        <v>2.019143228609273</v>
      </c>
      <c r="Q9" t="s">
        <v>73</v>
      </c>
      <c r="R9">
        <f>STDEV(R4:R6)</f>
        <v>0.10497277621629557</v>
      </c>
    </row>
    <row r="17" spans="6:9" x14ac:dyDescent="0.35">
      <c r="F17" t="s">
        <v>72</v>
      </c>
    </row>
    <row r="19" spans="6:9" x14ac:dyDescent="0.35">
      <c r="G19" t="s">
        <v>29</v>
      </c>
      <c r="H19" t="s">
        <v>69</v>
      </c>
      <c r="I19" t="s">
        <v>70</v>
      </c>
    </row>
    <row r="20" spans="6:9" x14ac:dyDescent="0.35">
      <c r="F20" t="s">
        <v>68</v>
      </c>
      <c r="H20">
        <v>1.6689976689976689</v>
      </c>
      <c r="I20">
        <v>0.8787878787878789</v>
      </c>
    </row>
    <row r="21" spans="6:9" x14ac:dyDescent="0.35">
      <c r="F21" t="s">
        <v>74</v>
      </c>
      <c r="H21">
        <v>2.019143228609273</v>
      </c>
      <c r="I21">
        <v>0.10497277621629557</v>
      </c>
    </row>
  </sheetData>
  <phoneticPr fontId="2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8E4B-62AA-BF4E-A809-7D8197E24DCE}">
  <dimension ref="A1"/>
  <sheetViews>
    <sheetView workbookViewId="0">
      <selection activeCell="G20" sqref="G20"/>
    </sheetView>
  </sheetViews>
  <sheetFormatPr defaultColWidth="10.6640625" defaultRowHeight="15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7C31-9AAA-5441-9BB5-78B922763937}">
  <sheetPr>
    <pageSetUpPr fitToPage="1"/>
  </sheetPr>
  <dimension ref="A1:M14"/>
  <sheetViews>
    <sheetView showRuler="0" workbookViewId="0">
      <selection activeCell="M17" sqref="M17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0" t="s">
        <v>29</v>
      </c>
      <c r="B1" s="32"/>
      <c r="C1" s="52"/>
      <c r="D1" s="52"/>
      <c r="E1" s="52"/>
      <c r="F1" s="52"/>
    </row>
    <row r="2" spans="1:13" ht="46.5" x14ac:dyDescent="0.35">
      <c r="A2" s="20"/>
      <c r="B2" s="45" t="s">
        <v>109</v>
      </c>
      <c r="C2" s="20">
        <v>1</v>
      </c>
      <c r="D2" s="20">
        <v>2</v>
      </c>
      <c r="E2" s="46">
        <v>3</v>
      </c>
      <c r="F2" s="20">
        <v>4</v>
      </c>
      <c r="G2" s="40" t="s">
        <v>99</v>
      </c>
      <c r="H2" s="40" t="s">
        <v>110</v>
      </c>
      <c r="I2" s="40" t="s">
        <v>111</v>
      </c>
      <c r="J2" s="40" t="s">
        <v>112</v>
      </c>
      <c r="K2" s="40" t="s">
        <v>113</v>
      </c>
      <c r="L2" s="40" t="s">
        <v>114</v>
      </c>
      <c r="M2" s="39" t="s">
        <v>115</v>
      </c>
    </row>
    <row r="3" spans="1:13" x14ac:dyDescent="0.35">
      <c r="A3" s="53" t="s">
        <v>54</v>
      </c>
      <c r="B3" s="47" t="s">
        <v>91</v>
      </c>
      <c r="C3" s="15"/>
      <c r="D3" s="15"/>
      <c r="E3" s="15"/>
      <c r="F3" s="15">
        <v>22</v>
      </c>
      <c r="G3" s="15">
        <v>1E-3</v>
      </c>
      <c r="H3" s="16">
        <f>F3/(G3*0.01)</f>
        <v>2200000</v>
      </c>
      <c r="I3" s="7">
        <f>AVERAGE(H3:H4)</f>
        <v>2250000</v>
      </c>
      <c r="J3" s="7">
        <f>STDEV(H3:H4)</f>
        <v>70710.67811865476</v>
      </c>
      <c r="K3" s="7">
        <f>I3*0.05</f>
        <v>112500</v>
      </c>
      <c r="L3" s="7">
        <f>J3*0.05</f>
        <v>3535.533905932738</v>
      </c>
      <c r="M3" s="21">
        <f>K3/30300</f>
        <v>3.7128712871287131</v>
      </c>
    </row>
    <row r="4" spans="1:13" x14ac:dyDescent="0.35">
      <c r="A4" s="54"/>
      <c r="B4" s="47" t="s">
        <v>90</v>
      </c>
      <c r="C4" s="15"/>
      <c r="D4" s="15"/>
      <c r="E4" s="15"/>
      <c r="F4" s="15">
        <v>23</v>
      </c>
      <c r="G4" s="15">
        <v>1E-3</v>
      </c>
      <c r="H4" s="16">
        <f>F4/(G4*0.01)</f>
        <v>2300000</v>
      </c>
      <c r="I4" s="38"/>
      <c r="J4" s="38"/>
      <c r="K4" s="7"/>
      <c r="L4" s="7"/>
      <c r="M4" s="21"/>
    </row>
    <row r="5" spans="1:13" x14ac:dyDescent="0.35">
      <c r="A5" s="53" t="s">
        <v>56</v>
      </c>
      <c r="B5" s="47" t="s">
        <v>88</v>
      </c>
      <c r="C5" s="15"/>
      <c r="D5" s="15"/>
      <c r="E5" s="15"/>
      <c r="F5" s="15">
        <v>22</v>
      </c>
      <c r="G5" s="15">
        <v>1E-3</v>
      </c>
      <c r="H5" s="16">
        <f t="shared" ref="H5:H8" si="0">F5/(G5*0.01)</f>
        <v>2200000</v>
      </c>
      <c r="I5" s="7">
        <f>AVERAGE(H5:H6)</f>
        <v>2300000</v>
      </c>
      <c r="J5" s="7">
        <f>STDEV(H5:H6)</f>
        <v>141421.35623730952</v>
      </c>
      <c r="K5" s="7">
        <f>I5*0.05</f>
        <v>115000</v>
      </c>
      <c r="L5" s="7">
        <f>J5*0.05</f>
        <v>7071.067811865476</v>
      </c>
      <c r="M5" s="21">
        <f t="shared" ref="M5:M7" si="1">K5/30300</f>
        <v>3.7953795379537953</v>
      </c>
    </row>
    <row r="6" spans="1:13" x14ac:dyDescent="0.35">
      <c r="A6" s="54"/>
      <c r="B6" s="47" t="s">
        <v>87</v>
      </c>
      <c r="C6" s="15"/>
      <c r="D6" s="15"/>
      <c r="E6" s="15"/>
      <c r="F6" s="15">
        <v>24</v>
      </c>
      <c r="G6" s="15">
        <v>1E-3</v>
      </c>
      <c r="H6" s="16">
        <f t="shared" si="0"/>
        <v>2400000</v>
      </c>
      <c r="I6" s="38"/>
      <c r="J6" s="38"/>
      <c r="K6" s="7"/>
      <c r="L6" s="7"/>
      <c r="M6" s="21"/>
    </row>
    <row r="7" spans="1:13" x14ac:dyDescent="0.35">
      <c r="A7" s="53" t="s">
        <v>85</v>
      </c>
      <c r="B7" s="47" t="s">
        <v>84</v>
      </c>
      <c r="C7" s="15"/>
      <c r="D7" s="15"/>
      <c r="E7" s="15"/>
      <c r="F7" s="15">
        <v>44</v>
      </c>
      <c r="G7" s="15">
        <v>1E-3</v>
      </c>
      <c r="H7" s="16">
        <f>F7/(G7*0.01)</f>
        <v>4400000</v>
      </c>
      <c r="I7" s="7">
        <f>AVERAGE(H7:H8)</f>
        <v>4550000</v>
      </c>
      <c r="J7" s="7">
        <f>STDEV(H7:H8)</f>
        <v>212132.03435596425</v>
      </c>
      <c r="K7" s="7">
        <f>I7*0.05</f>
        <v>227500</v>
      </c>
      <c r="L7" s="7">
        <f>J7*0.05</f>
        <v>10606.601717798214</v>
      </c>
      <c r="M7" s="21">
        <f t="shared" si="1"/>
        <v>7.5082508250825084</v>
      </c>
    </row>
    <row r="8" spans="1:13" x14ac:dyDescent="0.35">
      <c r="A8" s="54"/>
      <c r="B8" s="47" t="s">
        <v>83</v>
      </c>
      <c r="C8" s="15"/>
      <c r="D8" s="15"/>
      <c r="E8" s="15"/>
      <c r="F8" s="15">
        <v>47</v>
      </c>
      <c r="G8" s="15">
        <v>1E-3</v>
      </c>
      <c r="H8" s="16">
        <f t="shared" si="0"/>
        <v>4700000</v>
      </c>
      <c r="I8" s="38"/>
      <c r="J8" s="38"/>
      <c r="K8" s="7"/>
      <c r="L8" s="7"/>
      <c r="M8" s="21"/>
    </row>
    <row r="9" spans="1:13" x14ac:dyDescent="0.35">
      <c r="A9" s="1" t="s">
        <v>116</v>
      </c>
      <c r="B9" s="1"/>
      <c r="C9" s="1">
        <v>1</v>
      </c>
      <c r="D9" s="1">
        <f>C9/10</f>
        <v>0.1</v>
      </c>
      <c r="E9" s="1">
        <f>D9/10</f>
        <v>0.01</v>
      </c>
      <c r="F9" s="1">
        <f>E9/10</f>
        <v>1E-3</v>
      </c>
    </row>
    <row r="11" spans="1:13" x14ac:dyDescent="0.35">
      <c r="A11" s="1"/>
      <c r="B11" s="1" t="s">
        <v>113</v>
      </c>
      <c r="C11" s="1" t="s">
        <v>112</v>
      </c>
      <c r="L11" s="9"/>
    </row>
    <row r="12" spans="1:13" x14ac:dyDescent="0.35">
      <c r="A12" s="9" t="s">
        <v>54</v>
      </c>
      <c r="B12" s="7">
        <v>112500</v>
      </c>
      <c r="C12" s="7">
        <v>3535.533905932738</v>
      </c>
      <c r="L12" s="25"/>
    </row>
    <row r="13" spans="1:13" x14ac:dyDescent="0.35">
      <c r="A13" s="25" t="s">
        <v>56</v>
      </c>
      <c r="B13" s="7">
        <v>115000</v>
      </c>
      <c r="C13" s="7">
        <v>7071.067811865476</v>
      </c>
      <c r="L13" s="25"/>
    </row>
    <row r="14" spans="1:13" ht="31" x14ac:dyDescent="0.35">
      <c r="A14" s="25" t="s">
        <v>57</v>
      </c>
      <c r="B14" s="7">
        <v>227500</v>
      </c>
      <c r="C14" s="7">
        <v>10606.601717798214</v>
      </c>
      <c r="L14" s="48"/>
    </row>
  </sheetData>
  <mergeCells count="4">
    <mergeCell ref="C1:F1"/>
    <mergeCell ref="A3:A4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B23E-84EA-4448-AC18-511F816206EC}">
  <sheetPr>
    <pageSetUpPr fitToPage="1"/>
  </sheetPr>
  <dimension ref="A1:Y15"/>
  <sheetViews>
    <sheetView showRuler="0" workbookViewId="0">
      <selection activeCell="K3" sqref="K3:K5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32"/>
      <c r="H1" s="32"/>
      <c r="I1" s="32"/>
      <c r="J1" s="42"/>
      <c r="K1" s="42"/>
      <c r="L1" s="41"/>
      <c r="M1" s="41"/>
    </row>
    <row r="2" spans="1:25" ht="46.5" x14ac:dyDescent="0.35">
      <c r="A2" s="20"/>
      <c r="B2" s="34" t="s">
        <v>102</v>
      </c>
      <c r="C2" s="34" t="s">
        <v>101</v>
      </c>
      <c r="D2" s="34" t="s">
        <v>100</v>
      </c>
      <c r="E2" s="39" t="s">
        <v>99</v>
      </c>
      <c r="F2" s="39" t="s">
        <v>98</v>
      </c>
      <c r="G2" s="39" t="s">
        <v>97</v>
      </c>
      <c r="H2" s="39" t="s">
        <v>93</v>
      </c>
      <c r="J2" s="1"/>
      <c r="K2" s="40" t="s">
        <v>96</v>
      </c>
      <c r="L2" s="20" t="s">
        <v>95</v>
      </c>
      <c r="M2" s="40" t="s">
        <v>94</v>
      </c>
      <c r="N2" s="34" t="s">
        <v>93</v>
      </c>
      <c r="O2" s="39" t="s">
        <v>92</v>
      </c>
    </row>
    <row r="3" spans="1:25" x14ac:dyDescent="0.35">
      <c r="A3" s="55" t="s">
        <v>54</v>
      </c>
      <c r="B3" s="10" t="s">
        <v>91</v>
      </c>
      <c r="C3" s="15">
        <v>6</v>
      </c>
      <c r="D3" s="15">
        <v>7</v>
      </c>
      <c r="E3" s="15">
        <v>1</v>
      </c>
      <c r="F3" s="38">
        <f t="shared" ref="F3:F11" si="0">AVERAGE(C3,D3)</f>
        <v>6.5</v>
      </c>
      <c r="G3" s="7">
        <f>(F3/(0.05*E3))*0.2</f>
        <v>26</v>
      </c>
      <c r="H3" s="57">
        <f>TTEST(G3:G5,G3:G5,2,2)</f>
        <v>1</v>
      </c>
      <c r="I3" s="13"/>
      <c r="J3" s="9" t="s">
        <v>54</v>
      </c>
      <c r="K3" s="7">
        <f>AVERAGE(G3:G5)</f>
        <v>17.333333333333332</v>
      </c>
      <c r="L3" s="7">
        <f>STDEV(G3:G5)</f>
        <v>11.718930554164629</v>
      </c>
      <c r="M3" s="21">
        <v>3.7128712871287131</v>
      </c>
      <c r="N3" s="19"/>
      <c r="O3" s="37">
        <f>IF(K3/$K$3&gt;=1,K3/$K$3,-$K$3/K3)</f>
        <v>1</v>
      </c>
      <c r="R3" s="13"/>
      <c r="T3" s="13"/>
      <c r="U3" s="13"/>
      <c r="V3" s="13"/>
      <c r="W3" s="13"/>
      <c r="X3" s="13"/>
      <c r="Y3" s="13"/>
    </row>
    <row r="4" spans="1:25" x14ac:dyDescent="0.35">
      <c r="A4" s="55"/>
      <c r="B4" s="10" t="s">
        <v>90</v>
      </c>
      <c r="C4" s="15">
        <v>6</v>
      </c>
      <c r="D4" s="15">
        <v>5</v>
      </c>
      <c r="E4" s="15">
        <v>1</v>
      </c>
      <c r="F4" s="38">
        <f t="shared" si="0"/>
        <v>5.5</v>
      </c>
      <c r="G4" s="7">
        <f t="shared" ref="G4:G11" si="1">(F4/(0.05*E4))*0.2</f>
        <v>22</v>
      </c>
      <c r="H4" s="57"/>
      <c r="J4" s="25" t="s">
        <v>56</v>
      </c>
      <c r="K4" s="7">
        <f>AVERAGE(G6:G8)</f>
        <v>13.333333333333334</v>
      </c>
      <c r="L4" s="7">
        <f>STDEV(G6:G8)</f>
        <v>2.3094010767584989</v>
      </c>
      <c r="M4" s="21">
        <v>3.7953795379537953</v>
      </c>
      <c r="N4" s="19">
        <f>TTEST(G3:G5,G6:G8,2,2)</f>
        <v>0.59299103679728105</v>
      </c>
      <c r="O4" s="37">
        <f>IF(K4/$K$3&gt;=1,K4/$K$3,-$K$3/K4)</f>
        <v>-1.2999999999999998</v>
      </c>
    </row>
    <row r="5" spans="1:25" ht="31" x14ac:dyDescent="0.35">
      <c r="A5" s="55"/>
      <c r="B5" s="10" t="s">
        <v>89</v>
      </c>
      <c r="C5" s="15">
        <v>1</v>
      </c>
      <c r="D5" s="15">
        <v>1</v>
      </c>
      <c r="E5" s="15">
        <v>1</v>
      </c>
      <c r="F5" s="38">
        <f t="shared" si="0"/>
        <v>1</v>
      </c>
      <c r="G5" s="7">
        <f t="shared" si="1"/>
        <v>4</v>
      </c>
      <c r="H5" s="57"/>
      <c r="J5" s="25" t="s">
        <v>57</v>
      </c>
      <c r="K5" s="7">
        <f>AVERAGE(G10:G11)</f>
        <v>27</v>
      </c>
      <c r="L5" s="7">
        <f>STDEV(G10:G11)</f>
        <v>9.8994949366116654</v>
      </c>
      <c r="M5" s="21">
        <v>7.5082508250825084</v>
      </c>
      <c r="N5" s="19">
        <f>TTEST(G3:G5,G9:G11,2,2)</f>
        <v>0.19982918553772025</v>
      </c>
      <c r="O5" s="37">
        <f>IF(K5/$K$3&gt;=1,K5/$K$3,-$K$3/K5)</f>
        <v>1.5576923076923077</v>
      </c>
    </row>
    <row r="6" spans="1:25" ht="15" customHeight="1" x14ac:dyDescent="0.35">
      <c r="A6" s="56" t="s">
        <v>56</v>
      </c>
      <c r="B6" s="10" t="s">
        <v>88</v>
      </c>
      <c r="C6" s="15">
        <v>3</v>
      </c>
      <c r="D6" s="15">
        <v>3</v>
      </c>
      <c r="E6" s="15">
        <v>1</v>
      </c>
      <c r="F6" s="1">
        <f t="shared" si="0"/>
        <v>3</v>
      </c>
      <c r="G6" s="7">
        <f t="shared" si="1"/>
        <v>12</v>
      </c>
      <c r="H6" s="57">
        <f>TTEST(G6:G8,G3:G5,2,2)</f>
        <v>0.59299103679728105</v>
      </c>
    </row>
    <row r="7" spans="1:25" ht="15" customHeight="1" x14ac:dyDescent="0.35">
      <c r="A7" s="56"/>
      <c r="B7" s="10" t="s">
        <v>87</v>
      </c>
      <c r="C7" s="15">
        <v>3</v>
      </c>
      <c r="D7" s="15">
        <v>3</v>
      </c>
      <c r="E7" s="15">
        <v>1</v>
      </c>
      <c r="F7" s="1">
        <f t="shared" si="0"/>
        <v>3</v>
      </c>
      <c r="G7" s="7">
        <f t="shared" si="1"/>
        <v>12</v>
      </c>
      <c r="H7" s="57"/>
    </row>
    <row r="8" spans="1:25" x14ac:dyDescent="0.35">
      <c r="A8" s="56"/>
      <c r="B8" s="10" t="s">
        <v>86</v>
      </c>
      <c r="C8" s="15">
        <v>4</v>
      </c>
      <c r="D8" s="15">
        <v>4</v>
      </c>
      <c r="E8" s="15">
        <v>1</v>
      </c>
      <c r="F8" s="1">
        <f t="shared" si="0"/>
        <v>4</v>
      </c>
      <c r="G8" s="7">
        <f t="shared" si="1"/>
        <v>16</v>
      </c>
      <c r="H8" s="57"/>
    </row>
    <row r="9" spans="1:25" ht="15" customHeight="1" x14ac:dyDescent="0.35">
      <c r="A9" s="56" t="s">
        <v>85</v>
      </c>
      <c r="B9" s="10" t="s">
        <v>84</v>
      </c>
      <c r="C9" s="15">
        <v>5</v>
      </c>
      <c r="D9" s="15">
        <v>14</v>
      </c>
      <c r="E9" s="15">
        <v>1</v>
      </c>
      <c r="F9" s="1">
        <f t="shared" si="0"/>
        <v>9.5</v>
      </c>
      <c r="G9" s="7">
        <f t="shared" si="1"/>
        <v>38</v>
      </c>
      <c r="H9" s="57">
        <f>TTEST(G9:G11,G3:G5,2,2)</f>
        <v>0.19982918553772025</v>
      </c>
      <c r="J9" s="13"/>
    </row>
    <row r="10" spans="1:25" x14ac:dyDescent="0.35">
      <c r="A10" s="56"/>
      <c r="B10" s="10" t="s">
        <v>83</v>
      </c>
      <c r="C10" s="15">
        <v>8</v>
      </c>
      <c r="D10" s="15">
        <v>9</v>
      </c>
      <c r="E10" s="15">
        <v>1</v>
      </c>
      <c r="F10" s="1">
        <f t="shared" si="0"/>
        <v>8.5</v>
      </c>
      <c r="G10" s="7">
        <f t="shared" si="1"/>
        <v>34</v>
      </c>
      <c r="H10" s="57"/>
    </row>
    <row r="11" spans="1:25" ht="15" customHeight="1" x14ac:dyDescent="0.35">
      <c r="A11" s="56"/>
      <c r="B11" s="10" t="s">
        <v>82</v>
      </c>
      <c r="C11" s="15">
        <v>6</v>
      </c>
      <c r="D11" s="15">
        <v>4</v>
      </c>
      <c r="E11" s="15">
        <v>1</v>
      </c>
      <c r="F11" s="1">
        <f t="shared" si="0"/>
        <v>5</v>
      </c>
      <c r="G11" s="7">
        <f t="shared" si="1"/>
        <v>20</v>
      </c>
      <c r="H11" s="57"/>
    </row>
    <row r="12" spans="1:25" x14ac:dyDescent="0.35">
      <c r="A12" s="36" t="s">
        <v>81</v>
      </c>
      <c r="B12" s="10"/>
      <c r="C12" s="15">
        <v>0</v>
      </c>
      <c r="D12" s="15"/>
      <c r="E12" s="15">
        <v>1</v>
      </c>
      <c r="F12" s="1" t="s">
        <v>79</v>
      </c>
      <c r="G12" s="7" t="s">
        <v>79</v>
      </c>
    </row>
    <row r="13" spans="1:25" x14ac:dyDescent="0.35">
      <c r="A13" s="36" t="s">
        <v>80</v>
      </c>
      <c r="B13" s="10"/>
      <c r="C13" s="15">
        <v>0</v>
      </c>
      <c r="D13" s="15"/>
      <c r="E13" s="15">
        <v>1</v>
      </c>
      <c r="F13" s="1" t="s">
        <v>79</v>
      </c>
      <c r="G13" s="7" t="s">
        <v>79</v>
      </c>
      <c r="H13" s="13"/>
    </row>
    <row r="14" spans="1:25" x14ac:dyDescent="0.35">
      <c r="A14" s="35" t="s">
        <v>78</v>
      </c>
      <c r="H14" s="13"/>
    </row>
    <row r="15" spans="1:25" x14ac:dyDescent="0.35">
      <c r="A15" s="35" t="s">
        <v>77</v>
      </c>
    </row>
  </sheetData>
  <mergeCells count="6">
    <mergeCell ref="A3:A5"/>
    <mergeCell ref="A6:A8"/>
    <mergeCell ref="A9:A11"/>
    <mergeCell ref="H6:H8"/>
    <mergeCell ref="H9:H11"/>
    <mergeCell ref="H3:H5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7CB8-11A5-E24A-BF3C-5D5582E8BD44}">
  <sheetPr>
    <pageSetUpPr fitToPage="1"/>
  </sheetPr>
  <dimension ref="A1:U23"/>
  <sheetViews>
    <sheetView showRuler="0" workbookViewId="0">
      <selection activeCell="M3" sqref="M3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1" x14ac:dyDescent="0.35">
      <c r="A1" s="3" t="s">
        <v>0</v>
      </c>
      <c r="B1" s="3"/>
      <c r="C1" s="51" t="s">
        <v>117</v>
      </c>
      <c r="D1" s="51"/>
      <c r="E1" s="51"/>
      <c r="F1" s="34"/>
      <c r="G1" s="51" t="s">
        <v>118</v>
      </c>
      <c r="H1" s="51"/>
      <c r="I1" s="51"/>
      <c r="J1" s="32"/>
    </row>
    <row r="2" spans="1:21" ht="46.5" x14ac:dyDescent="0.35">
      <c r="A2" s="20"/>
      <c r="B2" s="20" t="s">
        <v>102</v>
      </c>
      <c r="C2" s="20">
        <v>1</v>
      </c>
      <c r="D2" s="20">
        <v>2</v>
      </c>
      <c r="E2" s="46">
        <v>3</v>
      </c>
      <c r="F2" s="46">
        <v>4</v>
      </c>
      <c r="G2" s="20">
        <v>1</v>
      </c>
      <c r="H2" s="20">
        <v>2</v>
      </c>
      <c r="I2" s="46">
        <v>3</v>
      </c>
      <c r="J2" s="46">
        <v>4</v>
      </c>
      <c r="K2" s="40" t="s">
        <v>99</v>
      </c>
      <c r="L2" s="40" t="s">
        <v>98</v>
      </c>
      <c r="M2" s="40" t="s">
        <v>97</v>
      </c>
      <c r="N2" s="49"/>
      <c r="O2" s="1"/>
      <c r="P2" s="40" t="s">
        <v>96</v>
      </c>
      <c r="Q2" s="20" t="s">
        <v>95</v>
      </c>
      <c r="R2" s="40" t="s">
        <v>94</v>
      </c>
      <c r="S2" s="39" t="s">
        <v>119</v>
      </c>
      <c r="T2" s="39" t="s">
        <v>92</v>
      </c>
    </row>
    <row r="3" spans="1:21" x14ac:dyDescent="0.35">
      <c r="A3" s="55" t="s">
        <v>54</v>
      </c>
      <c r="B3" s="10" t="s">
        <v>91</v>
      </c>
      <c r="C3" s="15"/>
      <c r="D3" s="15"/>
      <c r="E3" s="22">
        <v>7</v>
      </c>
      <c r="F3" s="22"/>
      <c r="G3" s="15"/>
      <c r="H3" s="15"/>
      <c r="I3" s="22">
        <v>7</v>
      </c>
      <c r="J3" s="22"/>
      <c r="K3" s="15">
        <v>0.01</v>
      </c>
      <c r="L3" s="38">
        <f>AVERAGE(E3,I3)</f>
        <v>7</v>
      </c>
      <c r="M3" s="7">
        <f t="shared" ref="M3:M11" si="0">(L3/(0.01*K3))*0.2</f>
        <v>14000</v>
      </c>
      <c r="N3" s="13"/>
      <c r="O3" s="9" t="s">
        <v>54</v>
      </c>
      <c r="P3" s="7">
        <f>AVERAGE(M3:M5)</f>
        <v>21166.666666666668</v>
      </c>
      <c r="Q3" s="7">
        <f>STDEV(M3:M5)</f>
        <v>6422.097269065097</v>
      </c>
      <c r="R3" s="21">
        <v>3.7128712871287131</v>
      </c>
      <c r="S3" s="1"/>
      <c r="T3" s="37">
        <f>IF(P3/$P$3&gt;=1,P3/$P$3,-$P$3/P3)</f>
        <v>1</v>
      </c>
    </row>
    <row r="4" spans="1:21" x14ac:dyDescent="0.35">
      <c r="A4" s="55"/>
      <c r="B4" s="10" t="s">
        <v>90</v>
      </c>
      <c r="C4" s="15"/>
      <c r="D4" s="15"/>
      <c r="E4" s="22">
        <f>(22/40)*E10</f>
        <v>9.3500000000000014</v>
      </c>
      <c r="F4" s="22"/>
      <c r="G4" s="15"/>
      <c r="H4" s="15"/>
      <c r="I4" s="22">
        <f>(22/40)*I10</f>
        <v>13.750000000000002</v>
      </c>
      <c r="J4" s="22"/>
      <c r="K4" s="15">
        <v>0.01</v>
      </c>
      <c r="L4" s="38">
        <f t="shared" ref="L4:L8" si="1">AVERAGE(E4,I4)</f>
        <v>11.55</v>
      </c>
      <c r="M4" s="7">
        <f t="shared" si="0"/>
        <v>23100</v>
      </c>
      <c r="N4" s="13"/>
      <c r="O4" s="25" t="s">
        <v>56</v>
      </c>
      <c r="P4" s="7">
        <f>AVERAGE(M6:M8)</f>
        <v>18166.666666666668</v>
      </c>
      <c r="Q4" s="7">
        <f>STDEV(M6:M8)</f>
        <v>3852.7046776690859</v>
      </c>
      <c r="R4" s="21">
        <v>3.7953795379537953</v>
      </c>
      <c r="S4" s="19">
        <f>TTEST(M3:M5,M6:M8,2,2)</f>
        <v>0.52597581880122712</v>
      </c>
      <c r="T4" s="37">
        <f>IF(P4/$P$3&gt;=1,P4/$P$3,-$P$3/P4)</f>
        <v>-1.165137614678899</v>
      </c>
    </row>
    <row r="5" spans="1:21" ht="31" x14ac:dyDescent="0.35">
      <c r="A5" s="55"/>
      <c r="B5" s="10" t="s">
        <v>89</v>
      </c>
      <c r="C5" s="15"/>
      <c r="D5" s="15"/>
      <c r="E5" s="22">
        <f>(22/40)*E11</f>
        <v>13.750000000000002</v>
      </c>
      <c r="F5" s="22"/>
      <c r="G5" s="15"/>
      <c r="H5" s="15"/>
      <c r="I5" s="22">
        <f>(22/40)*I11</f>
        <v>12.65</v>
      </c>
      <c r="J5" s="22"/>
      <c r="K5" s="15">
        <v>0.01</v>
      </c>
      <c r="L5" s="38">
        <f t="shared" si="1"/>
        <v>13.200000000000001</v>
      </c>
      <c r="M5" s="7">
        <f t="shared" si="0"/>
        <v>26400</v>
      </c>
      <c r="N5" s="13"/>
      <c r="O5" s="25" t="s">
        <v>57</v>
      </c>
      <c r="P5" s="7">
        <f>AVERAGE(M9:M11)</f>
        <v>39333.333333333336</v>
      </c>
      <c r="Q5" s="7">
        <f>STDEV(M9:M11)</f>
        <v>10263.202878893777</v>
      </c>
      <c r="R5" s="21">
        <v>7.5082508250825084</v>
      </c>
      <c r="S5" s="19">
        <f>TTEST(M3:M5,M9:M11,2,2)</f>
        <v>6.0112434472314728E-2</v>
      </c>
      <c r="T5" s="37">
        <f>IF(P5/$P$3&gt;=1,P5/$P$3,-$P$3/P5)</f>
        <v>1.8582677165354331</v>
      </c>
      <c r="U5" s="19"/>
    </row>
    <row r="6" spans="1:21" x14ac:dyDescent="0.35">
      <c r="A6" s="56" t="s">
        <v>56</v>
      </c>
      <c r="B6" s="10" t="s">
        <v>88</v>
      </c>
      <c r="C6" s="15"/>
      <c r="D6" s="15"/>
      <c r="E6" s="22">
        <f>7</f>
        <v>7</v>
      </c>
      <c r="F6" s="22"/>
      <c r="G6" s="15"/>
      <c r="H6" s="15"/>
      <c r="I6" s="22">
        <v>7</v>
      </c>
      <c r="J6" s="22"/>
      <c r="K6" s="15">
        <v>0.01</v>
      </c>
      <c r="L6" s="38">
        <f t="shared" si="1"/>
        <v>7</v>
      </c>
      <c r="M6" s="7">
        <f t="shared" si="0"/>
        <v>14000</v>
      </c>
      <c r="N6" s="13"/>
      <c r="O6" s="18"/>
      <c r="P6" s="13"/>
    </row>
    <row r="7" spans="1:21" ht="15" customHeight="1" x14ac:dyDescent="0.35">
      <c r="A7" s="56"/>
      <c r="B7" s="10" t="s">
        <v>87</v>
      </c>
      <c r="C7" s="15"/>
      <c r="D7" s="15"/>
      <c r="E7" s="22">
        <f>(18/40)*E10</f>
        <v>7.65</v>
      </c>
      <c r="F7" s="22"/>
      <c r="G7" s="15"/>
      <c r="H7" s="15"/>
      <c r="I7" s="22">
        <f>(18/40)*I10</f>
        <v>11.25</v>
      </c>
      <c r="J7" s="22"/>
      <c r="K7" s="15">
        <v>0.01</v>
      </c>
      <c r="L7" s="38">
        <f t="shared" si="1"/>
        <v>9.4499999999999993</v>
      </c>
      <c r="M7" s="7">
        <f t="shared" si="0"/>
        <v>18899.999999999996</v>
      </c>
      <c r="N7" s="13"/>
      <c r="U7" s="18"/>
    </row>
    <row r="8" spans="1:21" ht="15" customHeight="1" x14ac:dyDescent="0.35">
      <c r="A8" s="56"/>
      <c r="B8" s="10" t="s">
        <v>86</v>
      </c>
      <c r="C8" s="15"/>
      <c r="D8" s="15"/>
      <c r="E8" s="22">
        <f>(18/40)*E11</f>
        <v>11.25</v>
      </c>
      <c r="F8" s="22"/>
      <c r="G8" s="15"/>
      <c r="H8" s="15"/>
      <c r="I8" s="22">
        <f>(18/40)*I11</f>
        <v>10.35</v>
      </c>
      <c r="J8" s="22"/>
      <c r="K8" s="15">
        <v>0.01</v>
      </c>
      <c r="L8" s="38">
        <f t="shared" si="1"/>
        <v>10.8</v>
      </c>
      <c r="M8" s="7">
        <f t="shared" si="0"/>
        <v>21600</v>
      </c>
      <c r="N8" s="13"/>
    </row>
    <row r="9" spans="1:21" ht="15" customHeight="1" x14ac:dyDescent="0.35">
      <c r="A9" s="56" t="s">
        <v>85</v>
      </c>
      <c r="B9" s="10" t="s">
        <v>84</v>
      </c>
      <c r="C9" s="15"/>
      <c r="D9" s="15"/>
      <c r="E9" s="15">
        <v>14</v>
      </c>
      <c r="F9" s="15"/>
      <c r="G9" s="50"/>
      <c r="H9" s="15"/>
      <c r="I9" s="15">
        <v>14</v>
      </c>
      <c r="J9" s="15"/>
      <c r="K9" s="15">
        <v>0.01</v>
      </c>
      <c r="L9" s="38">
        <f>AVERAGE(E9,I9)</f>
        <v>14</v>
      </c>
      <c r="M9" s="7">
        <f t="shared" si="0"/>
        <v>28000</v>
      </c>
      <c r="N9" s="13"/>
    </row>
    <row r="10" spans="1:21" x14ac:dyDescent="0.35">
      <c r="A10" s="56"/>
      <c r="B10" s="10" t="s">
        <v>83</v>
      </c>
      <c r="C10" s="15"/>
      <c r="D10" s="15"/>
      <c r="E10" s="15">
        <v>17</v>
      </c>
      <c r="F10" s="15"/>
      <c r="G10" s="15"/>
      <c r="H10" s="15"/>
      <c r="I10" s="15">
        <v>25</v>
      </c>
      <c r="J10" s="15"/>
      <c r="K10" s="15">
        <v>0.01</v>
      </c>
      <c r="L10" s="38">
        <f t="shared" ref="L10:L11" si="2">AVERAGE(E10,I10)</f>
        <v>21</v>
      </c>
      <c r="M10" s="7">
        <f t="shared" si="0"/>
        <v>42000</v>
      </c>
      <c r="N10" s="13"/>
    </row>
    <row r="11" spans="1:21" ht="15" customHeight="1" x14ac:dyDescent="0.35">
      <c r="A11" s="56"/>
      <c r="B11" s="10" t="s">
        <v>82</v>
      </c>
      <c r="C11" s="15"/>
      <c r="D11" s="15"/>
      <c r="E11" s="15">
        <v>25</v>
      </c>
      <c r="F11" s="15"/>
      <c r="G11" s="15"/>
      <c r="H11" s="15"/>
      <c r="I11" s="15">
        <v>23</v>
      </c>
      <c r="J11" s="15"/>
      <c r="K11" s="15">
        <v>0.01</v>
      </c>
      <c r="L11" s="38">
        <f t="shared" si="2"/>
        <v>24</v>
      </c>
      <c r="M11" s="7">
        <f t="shared" si="0"/>
        <v>48000</v>
      </c>
      <c r="N11" s="13"/>
    </row>
    <row r="12" spans="1:21" x14ac:dyDescent="0.35">
      <c r="A12" s="36" t="s">
        <v>120</v>
      </c>
      <c r="B12" s="10"/>
      <c r="C12" s="15">
        <v>0</v>
      </c>
      <c r="D12" s="15" t="s">
        <v>79</v>
      </c>
      <c r="E12" s="15" t="s">
        <v>79</v>
      </c>
      <c r="F12" s="15" t="s">
        <v>79</v>
      </c>
      <c r="G12" s="15">
        <v>0</v>
      </c>
      <c r="H12" s="15" t="s">
        <v>79</v>
      </c>
      <c r="I12" s="15" t="s">
        <v>79</v>
      </c>
      <c r="J12" s="15" t="s">
        <v>79</v>
      </c>
      <c r="K12" s="15">
        <v>1</v>
      </c>
      <c r="L12" s="38">
        <v>0</v>
      </c>
      <c r="M12" s="7">
        <f>(L12/(0.1*K12))*0.2</f>
        <v>0</v>
      </c>
      <c r="N12" s="13"/>
    </row>
    <row r="13" spans="1:21" x14ac:dyDescent="0.35">
      <c r="A13" s="36" t="s">
        <v>121</v>
      </c>
      <c r="B13" s="10"/>
      <c r="C13" s="15">
        <v>0</v>
      </c>
      <c r="D13" s="15" t="s">
        <v>79</v>
      </c>
      <c r="E13" s="15" t="s">
        <v>79</v>
      </c>
      <c r="F13" s="15" t="s">
        <v>79</v>
      </c>
      <c r="G13" s="15">
        <v>0</v>
      </c>
      <c r="H13" s="15" t="s">
        <v>79</v>
      </c>
      <c r="I13" s="15" t="s">
        <v>79</v>
      </c>
      <c r="J13" s="15" t="s">
        <v>79</v>
      </c>
      <c r="K13" s="15">
        <v>1</v>
      </c>
      <c r="L13" s="38">
        <f>AVERAGE(C13)</f>
        <v>0</v>
      </c>
      <c r="M13" s="7">
        <f>(L13/(0.1*K13))*0.2</f>
        <v>0</v>
      </c>
      <c r="N13" s="13"/>
    </row>
    <row r="14" spans="1:21" x14ac:dyDescent="0.35">
      <c r="A14" s="1" t="s">
        <v>116</v>
      </c>
      <c r="B14" s="1"/>
      <c r="C14" s="1">
        <v>1</v>
      </c>
      <c r="D14" s="1">
        <f>C14/10</f>
        <v>0.1</v>
      </c>
      <c r="E14" s="1">
        <f>D14/10</f>
        <v>0.01</v>
      </c>
      <c r="F14" s="1">
        <v>1E-3</v>
      </c>
      <c r="G14" s="1">
        <v>1</v>
      </c>
      <c r="H14" s="1">
        <f>G14/10</f>
        <v>0.1</v>
      </c>
      <c r="I14" s="1">
        <f>H14/10</f>
        <v>0.01</v>
      </c>
      <c r="J14">
        <v>1E-3</v>
      </c>
      <c r="M14" s="13"/>
      <c r="N14" s="13"/>
    </row>
    <row r="15" spans="1:21" x14ac:dyDescent="0.35">
      <c r="A15" s="58"/>
      <c r="B15" s="58"/>
      <c r="C15" s="58"/>
    </row>
    <row r="16" spans="1:21" x14ac:dyDescent="0.35">
      <c r="A16" s="58" t="s">
        <v>122</v>
      </c>
      <c r="B16" s="58"/>
      <c r="C16" s="58"/>
      <c r="D16" s="35"/>
    </row>
    <row r="22" spans="9:10" x14ac:dyDescent="0.35">
      <c r="I22" s="13"/>
      <c r="J22" s="13"/>
    </row>
    <row r="23" spans="9:10" x14ac:dyDescent="0.35">
      <c r="I23" s="13"/>
      <c r="J23" s="13"/>
    </row>
  </sheetData>
  <mergeCells count="7">
    <mergeCell ref="A15:C15"/>
    <mergeCell ref="A16:C16"/>
    <mergeCell ref="C1:E1"/>
    <mergeCell ref="G1:I1"/>
    <mergeCell ref="A3:A5"/>
    <mergeCell ref="A6:A8"/>
    <mergeCell ref="A9:A11"/>
  </mergeCells>
  <pageMargins left="0.75" right="0.75" top="1" bottom="1" header="0.5" footer="0.5"/>
  <pageSetup scale="46" orientation="portrait" horizontalDpi="4294967292" vertic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B0BD1-A417-B84E-B3B3-75F707C623E9}">
  <dimension ref="A1:K4"/>
  <sheetViews>
    <sheetView tabSelected="1" topLeftCell="E5" workbookViewId="0">
      <selection activeCell="D8" sqref="D8"/>
    </sheetView>
  </sheetViews>
  <sheetFormatPr defaultColWidth="8.83203125" defaultRowHeight="15.5" x14ac:dyDescent="0.35"/>
  <cols>
    <col min="1" max="1" width="17.5" customWidth="1"/>
    <col min="7" max="7" width="12.33203125" customWidth="1"/>
    <col min="8" max="8" width="4" hidden="1" customWidth="1"/>
    <col min="9" max="9" width="15.83203125" customWidth="1"/>
    <col min="11" max="11" width="9.1640625" bestFit="1" customWidth="1"/>
  </cols>
  <sheetData>
    <row r="1" spans="1:11" x14ac:dyDescent="0.35">
      <c r="B1" t="s">
        <v>108</v>
      </c>
      <c r="C1" t="s">
        <v>95</v>
      </c>
      <c r="D1" t="s">
        <v>107</v>
      </c>
      <c r="E1" t="s">
        <v>95</v>
      </c>
      <c r="F1" t="s">
        <v>106</v>
      </c>
      <c r="G1" s="39"/>
      <c r="I1" t="s">
        <v>105</v>
      </c>
      <c r="J1" t="s">
        <v>104</v>
      </c>
      <c r="K1" t="s">
        <v>103</v>
      </c>
    </row>
    <row r="2" spans="1:11" x14ac:dyDescent="0.35">
      <c r="A2" s="9" t="s">
        <v>54</v>
      </c>
      <c r="B2" s="7">
        <v>17.333333333333332</v>
      </c>
      <c r="C2">
        <v>7.8126203694430867</v>
      </c>
      <c r="D2">
        <v>21166.666666666668</v>
      </c>
      <c r="E2" s="7">
        <v>6422.097269065097</v>
      </c>
      <c r="F2">
        <f>D2/B2</f>
        <v>1221.1538461538464</v>
      </c>
      <c r="G2" s="1"/>
      <c r="I2" s="10"/>
      <c r="J2">
        <v>135</v>
      </c>
      <c r="K2">
        <f>(22*60)/(3.3*LOG(D2/B2))</f>
        <v>129.585278638463</v>
      </c>
    </row>
    <row r="3" spans="1:11" x14ac:dyDescent="0.35">
      <c r="A3" s="25" t="s">
        <v>56</v>
      </c>
      <c r="B3" s="7">
        <v>13.333333333333334</v>
      </c>
      <c r="C3">
        <v>1.5396007178390008</v>
      </c>
      <c r="D3">
        <v>18166.666666666668</v>
      </c>
      <c r="E3">
        <v>3852.7046776690859</v>
      </c>
      <c r="F3">
        <f t="shared" ref="F3:F4" si="0">D3/B3</f>
        <v>1362.5</v>
      </c>
      <c r="G3" s="19"/>
      <c r="I3" s="44"/>
      <c r="K3">
        <f t="shared" ref="K3:K4" si="1">(22*60)/(3.3*LOG(D3/B3))</f>
        <v>127.61871566844961</v>
      </c>
    </row>
    <row r="4" spans="1:11" ht="44" customHeight="1" x14ac:dyDescent="0.35">
      <c r="A4" s="25" t="s">
        <v>57</v>
      </c>
      <c r="B4" s="7">
        <v>27</v>
      </c>
      <c r="C4">
        <v>6.5996632910744424</v>
      </c>
      <c r="D4">
        <v>39333.333333333336</v>
      </c>
      <c r="E4">
        <v>10263.202878893777</v>
      </c>
      <c r="F4">
        <f t="shared" si="0"/>
        <v>1456.7901234567903</v>
      </c>
      <c r="G4" s="19"/>
      <c r="I4" s="44"/>
      <c r="J4" s="43">
        <v>179</v>
      </c>
      <c r="K4">
        <f t="shared" si="1"/>
        <v>126.4463491187807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ExperimentalSetup</vt:lpstr>
      <vt:lpstr>Plate Needs</vt:lpstr>
      <vt:lpstr>Counts</vt:lpstr>
      <vt:lpstr>qPCR Values</vt:lpstr>
      <vt:lpstr>Inoculum</vt:lpstr>
      <vt:lpstr>T=2</vt:lpstr>
      <vt:lpstr>T=24</vt:lpstr>
      <vt:lpstr>2 vs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Hannah Trautmann</cp:lastModifiedBy>
  <cp:lastPrinted>2021-01-12T21:20:25Z</cp:lastPrinted>
  <dcterms:created xsi:type="dcterms:W3CDTF">2016-02-15T21:32:37Z</dcterms:created>
  <dcterms:modified xsi:type="dcterms:W3CDTF">2021-01-22T15:00:17Z</dcterms:modified>
</cp:coreProperties>
</file>