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ata/Macrophage assays/"/>
    </mc:Choice>
  </mc:AlternateContent>
  <xr:revisionPtr revIDLastSave="0" documentId="13_ncr:1_{B5E81C84-8BDF-BB4F-BE91-578632847BBB}" xr6:coauthVersionLast="45" xr6:coauthVersionMax="45" xr10:uidLastSave="{00000000-0000-0000-0000-000000000000}"/>
  <bookViews>
    <workbookView xWindow="0" yWindow="460" windowWidth="19420" windowHeight="11020" tabRatio="500" activeTab="5" xr2:uid="{00000000-000D-0000-FFFF-FFFF00000000}"/>
  </bookViews>
  <sheets>
    <sheet name="ExperimentalSetup" sheetId="1" r:id="rId1"/>
    <sheet name="Plate Needs" sheetId="5" r:id="rId2"/>
    <sheet name="Inoculum" sheetId="2" r:id="rId3"/>
    <sheet name="T=2" sheetId="4" r:id="rId4"/>
    <sheet name="T=24" sheetId="8" r:id="rId5"/>
    <sheet name="2 vs 24" sheetId="7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8" l="1"/>
  <c r="L5" i="8"/>
  <c r="L6" i="8"/>
  <c r="L7" i="8"/>
  <c r="L8" i="8"/>
  <c r="L9" i="8"/>
  <c r="L10" i="8"/>
  <c r="L11" i="8"/>
  <c r="L12" i="8"/>
  <c r="L13" i="8"/>
  <c r="L14" i="8"/>
  <c r="L3" i="8"/>
  <c r="H9" i="2"/>
  <c r="H10" i="2"/>
  <c r="I9" i="2"/>
  <c r="K9" i="2"/>
  <c r="M9" i="2"/>
  <c r="H7" i="2"/>
  <c r="H8" i="2"/>
  <c r="I7" i="2"/>
  <c r="K7" i="2"/>
  <c r="M7" i="2"/>
  <c r="H5" i="2"/>
  <c r="H6" i="2"/>
  <c r="I5" i="2"/>
  <c r="K5" i="2"/>
  <c r="M5" i="2"/>
  <c r="H3" i="2"/>
  <c r="H4" i="2"/>
  <c r="I3" i="2"/>
  <c r="K3" i="2"/>
  <c r="M3" i="2"/>
  <c r="F4" i="4"/>
  <c r="G4" i="4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3" i="4"/>
  <c r="G3" i="4"/>
  <c r="C7" i="5"/>
  <c r="C8" i="5"/>
  <c r="B7" i="5"/>
  <c r="B8" i="5"/>
  <c r="M11" i="8"/>
  <c r="M10" i="8"/>
  <c r="M9" i="8"/>
  <c r="M14" i="8"/>
  <c r="M13" i="8"/>
  <c r="M12" i="8"/>
  <c r="M8" i="8"/>
  <c r="K3" i="7"/>
  <c r="K4" i="7"/>
  <c r="K5" i="7"/>
  <c r="K2" i="7"/>
  <c r="F3" i="7"/>
  <c r="H17" i="8"/>
  <c r="I17" i="8"/>
  <c r="D17" i="8"/>
  <c r="E17" i="8"/>
  <c r="L16" i="8"/>
  <c r="M16" i="8"/>
  <c r="M15" i="8"/>
  <c r="M7" i="8"/>
  <c r="M6" i="8"/>
  <c r="M5" i="8"/>
  <c r="M4" i="8"/>
  <c r="M3" i="8"/>
  <c r="Q3" i="8"/>
  <c r="P3" i="8"/>
  <c r="T3" i="8"/>
  <c r="P4" i="8"/>
  <c r="Q4" i="8"/>
  <c r="Q6" i="8"/>
  <c r="T4" i="8"/>
  <c r="P5" i="8"/>
  <c r="T5" i="8"/>
  <c r="Q5" i="8"/>
  <c r="S6" i="8"/>
  <c r="S5" i="8"/>
  <c r="S4" i="8"/>
  <c r="P6" i="8"/>
  <c r="T6" i="8"/>
  <c r="F4" i="7"/>
  <c r="F5" i="7"/>
  <c r="F2" i="7"/>
  <c r="J9" i="2"/>
  <c r="P8" i="1"/>
  <c r="Q8" i="1"/>
  <c r="Q24" i="1"/>
  <c r="Q10" i="1"/>
  <c r="Q18" i="1"/>
  <c r="Q20" i="1"/>
  <c r="Q22" i="1"/>
  <c r="Q4" i="1"/>
  <c r="B9" i="5"/>
  <c r="P10" i="1"/>
  <c r="J3" i="2"/>
  <c r="L3" i="2"/>
  <c r="P4" i="1"/>
  <c r="D11" i="2"/>
  <c r="E11" i="2"/>
  <c r="F11" i="2"/>
  <c r="K6" i="4"/>
  <c r="N5" i="4"/>
  <c r="N6" i="4"/>
  <c r="L6" i="4"/>
  <c r="H12" i="4"/>
  <c r="P18" i="1"/>
  <c r="P20" i="1"/>
  <c r="P22" i="1"/>
  <c r="P23" i="1"/>
  <c r="P24" i="1"/>
  <c r="N4" i="4"/>
  <c r="K4" i="4"/>
  <c r="J5" i="2"/>
  <c r="L5" i="2"/>
  <c r="J7" i="2"/>
  <c r="L7" i="2"/>
  <c r="L4" i="4"/>
  <c r="K5" i="4"/>
  <c r="L5" i="4"/>
  <c r="H6" i="4"/>
  <c r="H3" i="4"/>
  <c r="K3" i="4"/>
  <c r="O3" i="4"/>
  <c r="H9" i="4"/>
  <c r="L3" i="4"/>
  <c r="L9" i="2"/>
  <c r="O6" i="4"/>
  <c r="O5" i="4"/>
  <c r="O4" i="4"/>
</calcChain>
</file>

<file path=xl/sharedStrings.xml><?xml version="1.0" encoding="utf-8"?>
<sst xmlns="http://schemas.openxmlformats.org/spreadsheetml/2006/main" count="233" uniqueCount="110">
  <si>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</si>
  <si>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</si>
  <si>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</si>
  <si>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</si>
  <si>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</si>
  <si>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</si>
  <si>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</si>
  <si>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</si>
  <si>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</si>
  <si>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</si>
  <si>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</si>
  <si>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</si>
  <si>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</si>
  <si>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</si>
  <si>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</si>
  <si>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</si>
  <si>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</si>
  <si>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</si>
  <si>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</si>
  <si>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</si>
  <si>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</si>
  <si>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</si>
  <si>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</si>
  <si>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</si>
  <si>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</si>
  <si>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</si>
  <si>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</si>
  <si>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</si>
  <si>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</si>
  <si>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</si>
  <si>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</si>
  <si>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</si>
  <si>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</si>
  <si>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</si>
  <si>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</si>
  <si>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</si>
  <si>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</si>
  <si>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</si>
  <si>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</si>
  <si>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</si>
  <si>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</si>
  <si>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</si>
  <si>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</si>
  <si>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</si>
  <si>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</si>
  <si>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</si>
  <si>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</si>
  <si>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</si>
  <si>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</si>
  <si>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</si>
  <si>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</si>
  <si>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</si>
  <si>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</si>
  <si>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</si>
  <si>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</si>
  <si>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</si>
  <si>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</si>
  <si>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</si>
  <si>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</si>
  <si>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</si>
  <si>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</si>
  <si>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</si>
  <si>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</si>
  <si>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</si>
  <si>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</si>
  <si>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</si>
  <si>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</si>
  <si>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T-test (vs LVS)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</si>
  <si>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</si>
  <si>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</si>
  <si>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</si>
  <si>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</si>
  <si>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</si>
  <si>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</si>
  <si>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</si>
  <si>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</si>
  <si>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</si>
  <si>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</si>
  <si>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</si>
  <si>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</si>
  <si>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</si>
  <si>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</si>
  <si>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</si>
  <si>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</si>
  <si>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</si>
  <si>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</si>
  <si>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</si>
  <si>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</si>
  <si>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</si>
  <si>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</si>
  <si>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</si>
  <si>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</si>
  <si>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</si>
  <si>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St dev/well</t>
  </si>
  <si>
    <t>T=2</t>
  </si>
  <si>
    <t>T=24</t>
  </si>
  <si>
    <t>**hemacytometer count *2 * 10,000</t>
  </si>
  <si>
    <t>Fold change vs 2</t>
  </si>
  <si>
    <t>In Vitro</t>
  </si>
  <si>
    <t>In Vivo</t>
  </si>
  <si>
    <t>Generation Times</t>
  </si>
  <si>
    <t>50 ul cells plated for all strains</t>
  </si>
  <si>
    <t>LVS</t>
  </si>
  <si>
    <t>∆pigR</t>
  </si>
  <si>
    <t>Round X-gal</t>
  </si>
  <si>
    <t>Square X-gal</t>
  </si>
  <si>
    <t>bfr:lacZ</t>
  </si>
  <si>
    <r>
      <rPr>
        <sz val="12"/>
        <color theme="1"/>
        <rFont val="Calibri"/>
        <family val="2"/>
        <scheme val="minor"/>
      </rPr>
      <t>LVS and</t>
    </r>
    <r>
      <rPr>
        <i/>
        <sz val="12"/>
        <color theme="1"/>
        <rFont val="Calibri"/>
        <family val="2"/>
        <scheme val="minor"/>
      </rPr>
      <t xml:space="preserve"> bfr:lacZ, </t>
    </r>
    <r>
      <rPr>
        <sz val="12"/>
        <color theme="1"/>
        <rFont val="Calibri"/>
        <family val="2"/>
        <scheme val="minor"/>
      </rPr>
      <t>1:1 mix</t>
    </r>
  </si>
  <si>
    <t>LVS and bfr:lacZ, 1:1 mix</t>
  </si>
  <si>
    <t>Square: 3 wells plated in duplicate x 3 strains; Round: 2 control wells + 3 wells plated in duplicate for dpigR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</si>
</sst>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Fill="1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14142.135623730908</c:v>
                  </c:pt>
                  <c:pt idx="1">
                    <c:v>0</c:v>
                  </c:pt>
                  <c:pt idx="2">
                    <c:v>31819.805153394638</c:v>
                  </c:pt>
                  <c:pt idx="3">
                    <c:v>1060.6601717798212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14142.135623730908</c:v>
                  </c:pt>
                  <c:pt idx="1">
                    <c:v>0</c:v>
                  </c:pt>
                  <c:pt idx="2">
                    <c:v>31819.805153394638</c:v>
                  </c:pt>
                  <c:pt idx="3">
                    <c:v>1060.6601717798212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  <c:pt idx="3">
                  <c:v>∆pigR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65000</c:v>
                </c:pt>
                <c:pt idx="1">
                  <c:v>0</c:v>
                </c:pt>
                <c:pt idx="2">
                  <c:v>62499.999999999993</c:v>
                </c:pt>
                <c:pt idx="3">
                  <c:v>5750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5.388602512436508</c:v>
                  </c:pt>
                  <c:pt idx="1">
                    <c:v>0</c:v>
                  </c:pt>
                  <c:pt idx="2">
                    <c:v>0.94280904158206247</c:v>
                  </c:pt>
                  <c:pt idx="3">
                    <c:v>0.94280904158206347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5.388602512436508</c:v>
                  </c:pt>
                  <c:pt idx="1">
                    <c:v>0</c:v>
                  </c:pt>
                  <c:pt idx="2">
                    <c:v>0.94280904158206247</c:v>
                  </c:pt>
                  <c:pt idx="3">
                    <c:v>0.94280904158206347</c:v>
                  </c:pt>
                </c:numCache>
              </c:numRef>
            </c:minus>
          </c:errBars>
          <c:cat>
            <c:strRef>
              <c:f>'T=2'!$J$3:$J$6</c:f>
              <c:strCache>
                <c:ptCount val="4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  <c:pt idx="3">
                  <c:v>∆pigR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4.8888888888888893</c:v>
                </c:pt>
                <c:pt idx="1">
                  <c:v>0</c:v>
                </c:pt>
                <c:pt idx="2">
                  <c:v>7.3333333333333339</c:v>
                </c:pt>
                <c:pt idx="3">
                  <c:v>0.44444444444444448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285.13154858766507</c:v>
                  </c:pt>
                  <c:pt idx="1">
                    <c:v>0</c:v>
                  </c:pt>
                  <c:pt idx="2">
                    <c:v>80.208062770106395</c:v>
                  </c:pt>
                  <c:pt idx="3">
                    <c:v>0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285.13154858766507</c:v>
                  </c:pt>
                  <c:pt idx="1">
                    <c:v>0</c:v>
                  </c:pt>
                  <c:pt idx="2">
                    <c:v>80.208062770106395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  <c:pt idx="3">
                  <c:v>∆pigR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290</c:v>
                </c:pt>
                <c:pt idx="1">
                  <c:v>0</c:v>
                </c:pt>
                <c:pt idx="2">
                  <c:v>223.33333333333334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E-4C34-A761-4C68E754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24'!$C$2:$C$5</c:f>
                <c:numCache>
                  <c:formatCode>General</c:formatCode>
                  <c:ptCount val="4"/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  <c:pt idx="3">
                  <c:v>∆pigR</c:v>
                </c:pt>
              </c:strCache>
            </c:strRef>
          </c:cat>
          <c:val>
            <c:numRef>
              <c:f>'2 vs 24'!$B$2:$B$5</c:f>
              <c:numCache>
                <c:formatCode>General</c:formatCode>
                <c:ptCount val="4"/>
                <c:pt idx="0">
                  <c:v>4.8888888888888893</c:v>
                </c:pt>
                <c:pt idx="1">
                  <c:v>0</c:v>
                </c:pt>
                <c:pt idx="2">
                  <c:v>7.3333333333333339</c:v>
                </c:pt>
                <c:pt idx="3">
                  <c:v>0.44444444444444448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24'!$E$2:$E$5</c:f>
                <c:numCache>
                  <c:formatCode>General</c:formatCode>
                  <c:ptCount val="4"/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  <c:pt idx="3">
                  <c:v>∆pigR</c:v>
                </c:pt>
              </c:strCache>
            </c:strRef>
          </c:cat>
          <c:val>
            <c:numRef>
              <c:f>'2 vs 24'!$D$2:$D$5</c:f>
              <c:numCache>
                <c:formatCode>General</c:formatCode>
                <c:ptCount val="4"/>
                <c:pt idx="0">
                  <c:v>290</c:v>
                </c:pt>
                <c:pt idx="1">
                  <c:v>0</c:v>
                </c:pt>
                <c:pt idx="2">
                  <c:v>223.33333333333334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Fold change (2 vs 24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24'!$A$1:$A$5</c:f>
              <c:strCache>
                <c:ptCount val="5"/>
                <c:pt idx="1">
                  <c:v>LVS</c:v>
                </c:pt>
                <c:pt idx="2">
                  <c:v>bfr:lacZ</c:v>
                </c:pt>
                <c:pt idx="3">
                  <c:v>LVS and bfr:lacZ, 1:1 mix</c:v>
                </c:pt>
                <c:pt idx="4">
                  <c:v>∆pigR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24'!$A$2:$A$5</c:f>
              <c:strCache>
                <c:ptCount val="4"/>
                <c:pt idx="0">
                  <c:v>LVS</c:v>
                </c:pt>
                <c:pt idx="1">
                  <c:v>bfr:lacZ</c:v>
                </c:pt>
                <c:pt idx="2">
                  <c:v>LVS and bfr:lacZ, 1:1 mix</c:v>
                </c:pt>
                <c:pt idx="3">
                  <c:v>∆pigR</c:v>
                </c:pt>
              </c:strCache>
            </c:strRef>
          </c:cat>
          <c:val>
            <c:numRef>
              <c:f>'2 vs 24'!$F$2:$F$5</c:f>
              <c:numCache>
                <c:formatCode>General</c:formatCode>
                <c:ptCount val="4"/>
                <c:pt idx="0">
                  <c:v>59.318181818181813</c:v>
                </c:pt>
                <c:pt idx="1">
                  <c:v>0</c:v>
                </c:pt>
                <c:pt idx="2">
                  <c:v>30.454545454545453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7-484E-8C40-012ADBAC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720368"/>
        <c:axId val="196765184"/>
      </c:barChart>
      <c:catAx>
        <c:axId val="2537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65184"/>
        <c:crosses val="autoZero"/>
        <c:auto val="1"/>
        <c:lblAlgn val="ctr"/>
        <c:lblOffset val="100"/>
        <c:noMultiLvlLbl val="0"/>
      </c:catAx>
      <c:valAx>
        <c:axId val="1967651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2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 vs 24'!$J$1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 vs 24'!$I$2:$I$5</c:f>
              <c:numCache>
                <c:formatCode>General</c:formatCode>
                <c:ptCount val="4"/>
              </c:numCache>
            </c:numRef>
          </c:cat>
          <c:val>
            <c:numRef>
              <c:f>'2 vs 24'!$J$2:$J$5</c:f>
              <c:numCache>
                <c:formatCode>General</c:formatCode>
                <c:ptCount val="4"/>
                <c:pt idx="0">
                  <c:v>135</c:v>
                </c:pt>
                <c:pt idx="2" formatCode="0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4-4379-855D-5864969FA46F}"/>
            </c:ext>
          </c:extLst>
        </c:ser>
        <c:ser>
          <c:idx val="0"/>
          <c:order val="1"/>
          <c:tx>
            <c:strRef>
              <c:f>'2 vs 24'!$K$1</c:f>
              <c:strCache>
                <c:ptCount val="1"/>
                <c:pt idx="0">
                  <c:v>In Vivo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 vs 24'!$I$2:$I$5</c:f>
              <c:numCache>
                <c:formatCode>General</c:formatCode>
                <c:ptCount val="4"/>
              </c:numCache>
            </c:numRef>
          </c:cat>
          <c:val>
            <c:numRef>
              <c:f>'2 vs 24'!$K$2:$K$5</c:f>
              <c:numCache>
                <c:formatCode>General</c:formatCode>
                <c:ptCount val="4"/>
                <c:pt idx="0">
                  <c:v>225.58241887312226</c:v>
                </c:pt>
                <c:pt idx="1">
                  <c:v>0</c:v>
                </c:pt>
                <c:pt idx="2">
                  <c:v>269.60497956455896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4-4379-855D-5864969F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192399"/>
        <c:axId val="1440134639"/>
      </c:barChart>
      <c:catAx>
        <c:axId val="15511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134639"/>
        <c:crosses val="autoZero"/>
        <c:auto val="1"/>
        <c:lblAlgn val="ctr"/>
        <c:lblOffset val="100"/>
        <c:noMultiLvlLbl val="0"/>
      </c:catAx>
      <c:valAx>
        <c:axId val="14401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</a:t>
                </a:r>
                <a:r>
                  <a:rPr lang="en-US" baseline="0"/>
                  <a:t> 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19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</xdr:colOff>
      <xdr:row>12</xdr:row>
      <xdr:rowOff>146050</xdr:rowOff>
    </xdr:from>
    <xdr:to>
      <xdr:col>15</xdr:col>
      <xdr:colOff>742950</xdr:colOff>
      <xdr:row>30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71C0F-B610-4B0C-8F3C-EAA7B387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6</xdr:row>
      <xdr:rowOff>88900</xdr:rowOff>
    </xdr:from>
    <xdr:to>
      <xdr:col>10</xdr:col>
      <xdr:colOff>431800</xdr:colOff>
      <xdr:row>22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368300</xdr:colOff>
      <xdr:row>24</xdr:row>
      <xdr:rowOff>73025</xdr:rowOff>
    </xdr:from>
    <xdr:to>
      <xdr:col>12</xdr:col>
      <xdr:colOff>317500</xdr:colOff>
      <xdr:row>38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99B77B-47CF-463B-97DB-E9B7DF61B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361950</xdr:colOff>
      <xdr:row>4</xdr:row>
      <xdr:rowOff>9525</xdr:rowOff>
    </xdr:from>
    <xdr:to>
      <xdr:col>22</xdr:col>
      <xdr:colOff>222250</xdr:colOff>
      <xdr:row>17</xdr:row>
      <xdr:rowOff>193675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9DC36-05B3-4F67-95A3-ECFDB679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J3" zoomScale="125" zoomScaleNormal="125" zoomScalePageLayoutView="125" workbookViewId="0">
      <selection activeCell="P10" sqref="P10"/>
    </sheetView>
  </sheetViews>
  <sheetFormatPr baseColWidth="10" defaultColWidth="10.6640625" defaultRowHeight="16" x14ac:dyDescent="0.2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1" width="12.33203125" customWidth="1"/>
    <col min="12" max="13" width="4.33203125" customWidth="1"/>
    <col min="14" max="14" width="3.5" customWidth="1"/>
    <col min="15" max="15" width="29.6640625" bestFit="1" customWidth="1"/>
    <col min="16" max="16" width="9.1640625" bestFit="1" customWidth="1"/>
    <col min="18" max="18" width="26" bestFit="1" customWidth="1"/>
    <col min="19" max="19" width="15.33203125" bestFit="1" customWidth="1"/>
  </cols>
  <sheetData>
    <row r="1" spans="1:24" ht="17" thickBot="1" x14ac:dyDescent="0.25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70</v>
      </c>
      <c r="Q1" s="3" t="s">
        <v>71</v>
      </c>
      <c r="R1" s="42" t="s">
        <v>77</v>
      </c>
    </row>
    <row r="2" spans="1:24" ht="17" x14ac:dyDescent="0.2">
      <c r="A2" s="4" t="s">
        <v>2</v>
      </c>
      <c r="B2" s="9" t="s">
        <v>102</v>
      </c>
      <c r="C2" s="9" t="s">
        <v>102</v>
      </c>
      <c r="D2" s="9" t="s">
        <v>102</v>
      </c>
      <c r="E2" s="6"/>
      <c r="F2" s="39" t="s">
        <v>106</v>
      </c>
      <c r="G2" s="39" t="s">
        <v>106</v>
      </c>
      <c r="H2" s="39" t="s">
        <v>106</v>
      </c>
      <c r="I2" s="5"/>
      <c r="J2" s="6" t="s">
        <v>66</v>
      </c>
      <c r="K2" s="6"/>
      <c r="L2" s="6"/>
      <c r="M2" s="6"/>
      <c r="O2" s="1" t="s">
        <v>87</v>
      </c>
      <c r="P2" s="7">
        <v>25000</v>
      </c>
      <c r="Q2" s="7">
        <v>20000</v>
      </c>
      <c r="R2" t="s">
        <v>90</v>
      </c>
    </row>
    <row r="3" spans="1:24" x14ac:dyDescent="0.2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90</v>
      </c>
    </row>
    <row r="4" spans="1:24" x14ac:dyDescent="0.2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125000</v>
      </c>
      <c r="Q4" s="7">
        <f>Q2/Q3</f>
        <v>100000</v>
      </c>
    </row>
    <row r="5" spans="1:24" ht="51" x14ac:dyDescent="0.2">
      <c r="A5" s="4" t="s">
        <v>8</v>
      </c>
      <c r="B5" s="39" t="s">
        <v>107</v>
      </c>
      <c r="C5" s="39" t="s">
        <v>107</v>
      </c>
      <c r="D5" s="39" t="s">
        <v>107</v>
      </c>
      <c r="E5" s="39"/>
      <c r="F5" s="39" t="s">
        <v>103</v>
      </c>
      <c r="G5" s="39" t="s">
        <v>103</v>
      </c>
      <c r="H5" s="39" t="s">
        <v>103</v>
      </c>
      <c r="I5" s="9"/>
      <c r="J5" s="6" t="s">
        <v>3</v>
      </c>
      <c r="K5" s="6"/>
      <c r="M5" s="1"/>
      <c r="O5" s="1" t="s">
        <v>9</v>
      </c>
      <c r="P5" s="1">
        <v>7</v>
      </c>
      <c r="Q5" s="1">
        <v>7</v>
      </c>
      <c r="R5" t="s">
        <v>90</v>
      </c>
    </row>
    <row r="6" spans="1:24" x14ac:dyDescent="0.2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3">
        <v>2000000</v>
      </c>
      <c r="Q6" s="7">
        <v>210000</v>
      </c>
      <c r="R6" t="s">
        <v>96</v>
      </c>
    </row>
    <row r="7" spans="1:24" x14ac:dyDescent="0.2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4">
        <v>0.437</v>
      </c>
      <c r="Q7" s="28">
        <v>3.5</v>
      </c>
      <c r="R7" s="14" t="s">
        <v>88</v>
      </c>
    </row>
    <row r="8" spans="1:24" x14ac:dyDescent="0.2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4">
        <f>P5-P7</f>
        <v>6.5629999999999997</v>
      </c>
      <c r="Q8" s="28">
        <f>Q5-Q7</f>
        <v>3.5</v>
      </c>
      <c r="V8" s="14"/>
      <c r="X8" s="14"/>
    </row>
    <row r="9" spans="1:24" x14ac:dyDescent="0.2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3">
        <v>103333</v>
      </c>
      <c r="Q9" s="7">
        <v>92500</v>
      </c>
      <c r="R9" t="s">
        <v>89</v>
      </c>
    </row>
    <row r="10" spans="1:24" x14ac:dyDescent="0.2">
      <c r="H10" s="14"/>
      <c r="O10" s="1" t="s">
        <v>18</v>
      </c>
      <c r="P10" s="43">
        <f>P9*0.2</f>
        <v>20666.600000000002</v>
      </c>
      <c r="Q10" s="7">
        <f>Q9*0.2</f>
        <v>18500</v>
      </c>
    </row>
    <row r="15" spans="1:24" x14ac:dyDescent="0.2">
      <c r="C15" s="15"/>
      <c r="P15" t="s">
        <v>20</v>
      </c>
    </row>
    <row r="16" spans="1:24" ht="17" thickBot="1" x14ac:dyDescent="0.25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70</v>
      </c>
      <c r="Q16" s="3" t="s">
        <v>71</v>
      </c>
      <c r="R16" s="42" t="s">
        <v>77</v>
      </c>
    </row>
    <row r="17" spans="1:18" ht="17" x14ac:dyDescent="0.2">
      <c r="A17" s="4" t="s">
        <v>2</v>
      </c>
      <c r="B17" s="9" t="s">
        <v>102</v>
      </c>
      <c r="C17" s="9" t="s">
        <v>102</v>
      </c>
      <c r="D17" s="9" t="s">
        <v>102</v>
      </c>
      <c r="E17" s="6"/>
      <c r="F17" s="39" t="s">
        <v>106</v>
      </c>
      <c r="G17" s="39" t="s">
        <v>106</v>
      </c>
      <c r="H17" s="39" t="s">
        <v>106</v>
      </c>
      <c r="I17" s="5"/>
      <c r="J17" s="6" t="s">
        <v>66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90</v>
      </c>
    </row>
    <row r="18" spans="1:18" x14ac:dyDescent="0.2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20666.600000000002</v>
      </c>
      <c r="Q18" s="18">
        <f>Q10</f>
        <v>18500</v>
      </c>
      <c r="R18" t="s">
        <v>91</v>
      </c>
    </row>
    <row r="19" spans="1:18" x14ac:dyDescent="0.2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90</v>
      </c>
    </row>
    <row r="20" spans="1:18" ht="59" customHeight="1" x14ac:dyDescent="0.2">
      <c r="A20" s="4" t="s">
        <v>8</v>
      </c>
      <c r="B20" s="39" t="s">
        <v>107</v>
      </c>
      <c r="C20" s="39" t="s">
        <v>107</v>
      </c>
      <c r="D20" s="39" t="s">
        <v>107</v>
      </c>
      <c r="E20" s="39"/>
      <c r="F20" s="39" t="s">
        <v>103</v>
      </c>
      <c r="G20" s="39" t="s">
        <v>103</v>
      </c>
      <c r="H20" s="39" t="s">
        <v>103</v>
      </c>
      <c r="I20" s="9"/>
      <c r="J20" s="6" t="s">
        <v>3</v>
      </c>
      <c r="K20" s="6"/>
      <c r="M20" s="1"/>
      <c r="O20" s="19" t="s">
        <v>24</v>
      </c>
      <c r="P20" s="18">
        <f>(P18*P17/P19)</f>
        <v>2066660.0000000002</v>
      </c>
      <c r="Q20" s="18">
        <f>(Q18*Q17/Q19)</f>
        <v>1850000</v>
      </c>
    </row>
    <row r="21" spans="1:18" x14ac:dyDescent="0.2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90</v>
      </c>
    </row>
    <row r="22" spans="1:18" x14ac:dyDescent="0.2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3.557074010327023E-4</v>
      </c>
      <c r="Q22" s="20">
        <f>Q20/Q21</f>
        <v>3.1841652323580036E-4</v>
      </c>
    </row>
    <row r="23" spans="1:18" x14ac:dyDescent="0.2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5">
        <f>P22*100</f>
        <v>3.5570740103270229E-2</v>
      </c>
      <c r="Q23" s="21">
        <v>0.03</v>
      </c>
      <c r="R23" t="s">
        <v>92</v>
      </c>
    </row>
    <row r="24" spans="1:18" x14ac:dyDescent="0.2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55">
        <f>P23/100</f>
        <v>3.557074010327023E-4</v>
      </c>
      <c r="Q24" s="1">
        <f>Q23/100</f>
        <v>2.9999999999999997E-4</v>
      </c>
    </row>
    <row r="25" spans="1:18" x14ac:dyDescent="0.2">
      <c r="C25" s="15"/>
    </row>
    <row r="26" spans="1:18" ht="17" x14ac:dyDescent="0.2">
      <c r="C26" s="15"/>
      <c r="G26" s="10">
        <v>1</v>
      </c>
      <c r="H26" s="9" t="s">
        <v>102</v>
      </c>
      <c r="P26" t="s">
        <v>0</v>
      </c>
    </row>
    <row r="27" spans="1:18" ht="17" x14ac:dyDescent="0.2">
      <c r="G27" s="10">
        <v>2</v>
      </c>
      <c r="H27" s="39" t="s">
        <v>106</v>
      </c>
    </row>
    <row r="28" spans="1:18" ht="51" x14ac:dyDescent="0.2">
      <c r="G28" s="10">
        <v>3</v>
      </c>
      <c r="H28" s="39" t="s">
        <v>107</v>
      </c>
    </row>
    <row r="29" spans="1:18" ht="17" x14ac:dyDescent="0.2">
      <c r="G29" s="10">
        <v>4</v>
      </c>
      <c r="H29" s="39" t="s">
        <v>103</v>
      </c>
      <c r="R29" s="14"/>
    </row>
    <row r="30" spans="1:18" x14ac:dyDescent="0.2">
      <c r="H30" s="41"/>
    </row>
  </sheetData>
  <phoneticPr fontId="4" type="noConversion"/>
  <pageMargins left="0.75" right="0.75" top="1" bottom="1" header="0.5" footer="0.5"/>
  <pageSetup scale="53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E9"/>
  <sheetViews>
    <sheetView workbookViewId="0">
      <selection activeCell="C13" sqref="C13"/>
    </sheetView>
  </sheetViews>
  <sheetFormatPr baseColWidth="10" defaultColWidth="10.6640625" defaultRowHeight="16" x14ac:dyDescent="0.2"/>
  <cols>
    <col min="1" max="1" width="34.6640625" bestFit="1" customWidth="1"/>
    <col min="2" max="2" width="15.33203125" customWidth="1"/>
    <col min="3" max="3" width="13.1640625" customWidth="1"/>
    <col min="4" max="4" width="41" customWidth="1"/>
    <col min="5" max="5" width="16.5" customWidth="1"/>
    <col min="6" max="6" width="70.83203125" customWidth="1"/>
  </cols>
  <sheetData>
    <row r="1" spans="1:5" x14ac:dyDescent="0.2">
      <c r="B1" s="62" t="s">
        <v>73</v>
      </c>
      <c r="C1" s="62"/>
      <c r="D1" s="62"/>
      <c r="E1" s="62"/>
    </row>
    <row r="2" spans="1:5" x14ac:dyDescent="0.2">
      <c r="A2" s="22" t="s">
        <v>86</v>
      </c>
      <c r="B2" s="60" t="s">
        <v>104</v>
      </c>
      <c r="C2" s="60" t="s">
        <v>105</v>
      </c>
      <c r="D2" s="22" t="s">
        <v>77</v>
      </c>
    </row>
    <row r="3" spans="1:5" x14ac:dyDescent="0.2">
      <c r="A3" s="1" t="s">
        <v>74</v>
      </c>
      <c r="B3" s="37">
        <v>8</v>
      </c>
      <c r="C3" s="37"/>
      <c r="D3" s="1" t="s">
        <v>78</v>
      </c>
    </row>
    <row r="4" spans="1:5" x14ac:dyDescent="0.2">
      <c r="A4" s="1" t="s">
        <v>75</v>
      </c>
      <c r="B4" s="37"/>
      <c r="C4" s="37">
        <v>8</v>
      </c>
      <c r="D4" s="1" t="s">
        <v>79</v>
      </c>
    </row>
    <row r="5" spans="1:5" x14ac:dyDescent="0.2">
      <c r="A5" s="1" t="s">
        <v>76</v>
      </c>
      <c r="B5" s="37">
        <v>26</v>
      </c>
      <c r="C5" s="37"/>
      <c r="D5" s="1" t="s">
        <v>80</v>
      </c>
    </row>
    <row r="6" spans="1:5" ht="51" x14ac:dyDescent="0.2">
      <c r="A6" s="1" t="s">
        <v>81</v>
      </c>
      <c r="B6">
        <v>8</v>
      </c>
      <c r="C6" s="17">
        <v>18</v>
      </c>
      <c r="D6" s="19" t="s">
        <v>109</v>
      </c>
    </row>
    <row r="7" spans="1:5" x14ac:dyDescent="0.2">
      <c r="A7" s="22" t="s">
        <v>82</v>
      </c>
      <c r="B7" s="32">
        <f t="shared" ref="B7:C7" si="0">SUM(B3:B6)</f>
        <v>42</v>
      </c>
      <c r="C7" s="32">
        <f t="shared" si="0"/>
        <v>26</v>
      </c>
      <c r="D7" s="1"/>
    </row>
    <row r="8" spans="1:5" x14ac:dyDescent="0.2">
      <c r="A8" s="1" t="s">
        <v>83</v>
      </c>
      <c r="B8" s="17">
        <f t="shared" ref="B8" si="1">B7/25</f>
        <v>1.68</v>
      </c>
      <c r="C8" s="17">
        <f>C7/20</f>
        <v>1.3</v>
      </c>
      <c r="D8" s="1" t="s">
        <v>85</v>
      </c>
    </row>
    <row r="9" spans="1:5" x14ac:dyDescent="0.2">
      <c r="A9" s="22" t="s">
        <v>84</v>
      </c>
      <c r="B9" s="32">
        <f>SUM(B8:C8)</f>
        <v>2.98</v>
      </c>
      <c r="C9" s="61"/>
      <c r="D9" s="61"/>
      <c r="E9" s="38"/>
    </row>
  </sheetData>
  <mergeCells count="1">
    <mergeCell ref="B1:E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workbookViewId="0">
      <selection activeCell="M11" sqref="M11"/>
    </sheetView>
  </sheetViews>
  <sheetFormatPr baseColWidth="10" defaultColWidth="10.6640625" defaultRowHeight="16" x14ac:dyDescent="0.2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2">
      <c r="A1" s="22" t="s">
        <v>29</v>
      </c>
      <c r="B1" s="23"/>
      <c r="C1" s="65"/>
      <c r="D1" s="65"/>
      <c r="E1" s="65"/>
      <c r="F1" s="65"/>
    </row>
    <row r="2" spans="1:13" ht="51" x14ac:dyDescent="0.2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93</v>
      </c>
      <c r="M2" s="16" t="s">
        <v>72</v>
      </c>
    </row>
    <row r="3" spans="1:13" x14ac:dyDescent="0.2">
      <c r="A3" s="63" t="s">
        <v>102</v>
      </c>
      <c r="B3" s="27" t="s">
        <v>36</v>
      </c>
      <c r="C3" s="17"/>
      <c r="D3" s="17"/>
      <c r="E3" s="17"/>
      <c r="F3" s="17">
        <v>11</v>
      </c>
      <c r="G3" s="48">
        <v>1E-3</v>
      </c>
      <c r="H3" s="49">
        <f>F3/(G3*0.01)</f>
        <v>1100000</v>
      </c>
      <c r="I3" s="7">
        <f>AVERAGE(H3:H4)</f>
        <v>1300000</v>
      </c>
      <c r="J3" s="7">
        <f>STDEV(H3:H4)</f>
        <v>282842.71247461817</v>
      </c>
      <c r="K3" s="7">
        <f>I3*0.05</f>
        <v>65000</v>
      </c>
      <c r="L3" s="7">
        <f>J3*0.05</f>
        <v>14142.135623730908</v>
      </c>
      <c r="M3" s="46">
        <f>K3/20700</f>
        <v>3.1400966183574881</v>
      </c>
    </row>
    <row r="4" spans="1:13" x14ac:dyDescent="0.2">
      <c r="A4" s="64"/>
      <c r="B4" s="27" t="s">
        <v>38</v>
      </c>
      <c r="C4" s="17"/>
      <c r="D4" s="17"/>
      <c r="E4" s="17"/>
      <c r="F4" s="17">
        <v>15</v>
      </c>
      <c r="G4" s="48">
        <v>1E-3</v>
      </c>
      <c r="H4" s="49">
        <f>F4/(G4*0.01)</f>
        <v>1499999.9999999998</v>
      </c>
      <c r="I4" s="29"/>
      <c r="J4" s="29"/>
      <c r="K4" s="7"/>
      <c r="L4" s="7"/>
      <c r="M4" s="46"/>
    </row>
    <row r="5" spans="1:13" x14ac:dyDescent="0.2">
      <c r="A5" s="63" t="s">
        <v>106</v>
      </c>
      <c r="B5" s="27" t="s">
        <v>39</v>
      </c>
      <c r="C5" s="17">
        <v>0</v>
      </c>
      <c r="D5" s="17"/>
      <c r="E5" s="17"/>
      <c r="F5" s="17"/>
      <c r="G5" s="48">
        <v>1E-3</v>
      </c>
      <c r="H5" s="49">
        <f t="shared" ref="H5:H8" si="0">F5/(G5*0.01)</f>
        <v>0</v>
      </c>
      <c r="I5" s="7">
        <f>AVERAGE(H5:H6)</f>
        <v>0</v>
      </c>
      <c r="J5" s="7">
        <f>STDEV(H5:H6)</f>
        <v>0</v>
      </c>
      <c r="K5" s="7">
        <f>I5*0.05</f>
        <v>0</v>
      </c>
      <c r="L5" s="7">
        <f>J5*0.05</f>
        <v>0</v>
      </c>
      <c r="M5" s="46">
        <f>K5/20700</f>
        <v>0</v>
      </c>
    </row>
    <row r="6" spans="1:13" x14ac:dyDescent="0.2">
      <c r="A6" s="64"/>
      <c r="B6" s="27" t="s">
        <v>40</v>
      </c>
      <c r="C6" s="17">
        <v>0</v>
      </c>
      <c r="D6" s="17"/>
      <c r="E6" s="17"/>
      <c r="F6" s="17"/>
      <c r="G6" s="48">
        <v>1E-3</v>
      </c>
      <c r="H6" s="49">
        <f t="shared" si="0"/>
        <v>0</v>
      </c>
      <c r="I6" s="29"/>
      <c r="J6" s="29"/>
      <c r="K6" s="7"/>
      <c r="L6" s="7"/>
      <c r="M6" s="46"/>
    </row>
    <row r="7" spans="1:13" x14ac:dyDescent="0.2">
      <c r="A7" s="63" t="s">
        <v>108</v>
      </c>
      <c r="B7" s="27" t="s">
        <v>41</v>
      </c>
      <c r="C7" s="17"/>
      <c r="D7" s="17"/>
      <c r="E7" s="17"/>
      <c r="F7" s="17">
        <v>8</v>
      </c>
      <c r="G7" s="48">
        <v>1E-3</v>
      </c>
      <c r="H7" s="49">
        <f t="shared" si="0"/>
        <v>799999.99999999988</v>
      </c>
      <c r="I7" s="7">
        <f>AVERAGE(H7:H8)</f>
        <v>1249999.9999999998</v>
      </c>
      <c r="J7" s="7">
        <f>STDEV(H7:H8)</f>
        <v>636396.10306789272</v>
      </c>
      <c r="K7" s="7">
        <f>I7*0.05</f>
        <v>62499.999999999993</v>
      </c>
      <c r="L7" s="7">
        <f>J7*0.05</f>
        <v>31819.805153394638</v>
      </c>
      <c r="M7" s="46">
        <f>K7/20700</f>
        <v>3.0193236714975842</v>
      </c>
    </row>
    <row r="8" spans="1:13" x14ac:dyDescent="0.2">
      <c r="A8" s="64"/>
      <c r="B8" s="27" t="s">
        <v>42</v>
      </c>
      <c r="C8" s="17"/>
      <c r="D8" s="17"/>
      <c r="E8" s="17"/>
      <c r="F8" s="17">
        <v>17</v>
      </c>
      <c r="G8" s="48">
        <v>1E-3</v>
      </c>
      <c r="H8" s="49">
        <f t="shared" si="0"/>
        <v>1699999.9999999998</v>
      </c>
      <c r="I8" s="29"/>
      <c r="J8" s="29"/>
      <c r="K8" s="7"/>
      <c r="L8" s="7"/>
      <c r="M8" s="46"/>
    </row>
    <row r="9" spans="1:13" ht="16" customHeight="1" x14ac:dyDescent="0.2">
      <c r="A9" s="63" t="s">
        <v>103</v>
      </c>
      <c r="B9" s="27" t="s">
        <v>43</v>
      </c>
      <c r="C9" s="17"/>
      <c r="D9" s="17"/>
      <c r="E9" s="17">
        <v>10</v>
      </c>
      <c r="F9" s="17"/>
      <c r="G9" s="48">
        <v>0.01</v>
      </c>
      <c r="H9" s="49">
        <f>E9/(G9*0.01)</f>
        <v>100000</v>
      </c>
      <c r="I9" s="7">
        <f>AVERAGE(H9:H10)</f>
        <v>115000</v>
      </c>
      <c r="J9" s="7">
        <f>STDEV(H9:H10)</f>
        <v>21213.203435596424</v>
      </c>
      <c r="K9" s="7">
        <f>I9*0.05</f>
        <v>5750</v>
      </c>
      <c r="L9" s="7">
        <f>J9*0.05</f>
        <v>1060.6601717798212</v>
      </c>
      <c r="M9" s="46">
        <f>K9/20700</f>
        <v>0.27777777777777779</v>
      </c>
    </row>
    <row r="10" spans="1:13" x14ac:dyDescent="0.2">
      <c r="A10" s="64"/>
      <c r="B10" s="27" t="s">
        <v>44</v>
      </c>
      <c r="C10" s="17"/>
      <c r="D10" s="17"/>
      <c r="E10" s="17">
        <v>13</v>
      </c>
      <c r="F10" s="17"/>
      <c r="G10" s="48">
        <v>0.01</v>
      </c>
      <c r="H10" s="49">
        <f>E10/(G10*0.01)</f>
        <v>130000</v>
      </c>
      <c r="I10" s="29"/>
      <c r="J10" s="29"/>
      <c r="K10" s="7"/>
      <c r="L10" s="7"/>
      <c r="M10" s="28"/>
    </row>
    <row r="11" spans="1:13" x14ac:dyDescent="0.2">
      <c r="A11" s="1" t="s">
        <v>45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2">
      <c r="A13" s="1"/>
      <c r="B13" s="1" t="s">
        <v>46</v>
      </c>
      <c r="C13" s="1" t="s">
        <v>34</v>
      </c>
      <c r="L13" s="9"/>
    </row>
    <row r="14" spans="1:13" ht="17" x14ac:dyDescent="0.2">
      <c r="A14" s="9" t="s">
        <v>102</v>
      </c>
      <c r="B14" s="7">
        <v>65000</v>
      </c>
      <c r="C14" s="7">
        <v>14142.135623730908</v>
      </c>
      <c r="L14" s="39"/>
    </row>
    <row r="15" spans="1:13" ht="17" x14ac:dyDescent="0.2">
      <c r="A15" s="39" t="s">
        <v>106</v>
      </c>
      <c r="B15" s="7">
        <v>0</v>
      </c>
      <c r="C15" s="7">
        <v>0</v>
      </c>
      <c r="L15" s="39"/>
    </row>
    <row r="16" spans="1:13" ht="34" x14ac:dyDescent="0.2">
      <c r="A16" s="39" t="s">
        <v>107</v>
      </c>
      <c r="B16" s="7">
        <v>62499.999999999993</v>
      </c>
      <c r="C16" s="7">
        <v>31819.805153394638</v>
      </c>
      <c r="L16" s="40"/>
    </row>
    <row r="17" spans="1:3" ht="17" x14ac:dyDescent="0.2">
      <c r="A17" s="39" t="s">
        <v>103</v>
      </c>
      <c r="B17" s="7">
        <v>5750</v>
      </c>
      <c r="C17" s="7">
        <v>1060.6601717798212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K3" sqref="K3:K6"/>
    </sheetView>
  </sheetViews>
  <sheetFormatPr baseColWidth="10" defaultColWidth="10.6640625" defaultRowHeight="16" x14ac:dyDescent="0.2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2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51" x14ac:dyDescent="0.2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58</v>
      </c>
      <c r="J2" s="1"/>
      <c r="K2" s="26" t="s">
        <v>51</v>
      </c>
      <c r="L2" s="22" t="s">
        <v>52</v>
      </c>
      <c r="M2" s="50" t="s">
        <v>53</v>
      </c>
      <c r="N2" s="34" t="s">
        <v>58</v>
      </c>
      <c r="O2" s="16" t="s">
        <v>59</v>
      </c>
    </row>
    <row r="3" spans="1:25" ht="17" x14ac:dyDescent="0.2">
      <c r="A3" s="66" t="s">
        <v>102</v>
      </c>
      <c r="B3" s="10" t="s">
        <v>36</v>
      </c>
      <c r="C3" s="53">
        <v>1</v>
      </c>
      <c r="D3" s="53">
        <v>2</v>
      </c>
      <c r="E3" s="17">
        <v>1</v>
      </c>
      <c r="F3" s="29">
        <f t="shared" ref="F3:F14" si="0">AVERAGE(C3,D3)</f>
        <v>1.5</v>
      </c>
      <c r="G3" s="7">
        <f>(F3/(0.075*E3))*0.2</f>
        <v>4</v>
      </c>
      <c r="H3" s="68">
        <f>TTEST(G3:G5,G3:G5,2,2)</f>
        <v>1</v>
      </c>
      <c r="I3" s="14"/>
      <c r="J3" s="9" t="s">
        <v>102</v>
      </c>
      <c r="K3" s="7">
        <f>AVERAGE(G3:G5)</f>
        <v>4.8888888888888893</v>
      </c>
      <c r="L3" s="7">
        <f>STDEV(G3:G5)</f>
        <v>5.388602512436508</v>
      </c>
      <c r="M3" s="46">
        <v>3.1400966183574881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ht="17" x14ac:dyDescent="0.2">
      <c r="A4" s="66"/>
      <c r="B4" s="10" t="s">
        <v>38</v>
      </c>
      <c r="C4" s="53">
        <v>0</v>
      </c>
      <c r="D4" s="53">
        <v>0</v>
      </c>
      <c r="E4" s="17">
        <v>1</v>
      </c>
      <c r="F4" s="29">
        <f t="shared" si="0"/>
        <v>0</v>
      </c>
      <c r="G4" s="7">
        <f t="shared" ref="G4:G14" si="1">(F4/(0.075*E4))*0.2</f>
        <v>0</v>
      </c>
      <c r="H4" s="68"/>
      <c r="J4" s="39" t="s">
        <v>106</v>
      </c>
      <c r="K4" s="7" t="e">
        <f>AVERAGE(G6:G8)</f>
        <v>#DIV/0!</v>
      </c>
      <c r="L4" s="7" t="e">
        <f>STDEV(G6:G8)</f>
        <v>#DIV/0!</v>
      </c>
      <c r="M4" s="46">
        <v>0</v>
      </c>
      <c r="N4" s="21" t="e">
        <f>TTEST(G3:G5,G6:G8,2,2)</f>
        <v>#DIV/0!</v>
      </c>
      <c r="O4" s="13" t="e">
        <f>IF(K4/$K$3&gt;=1,K4/$K$3,-$K$3/K4)</f>
        <v>#DIV/0!</v>
      </c>
    </row>
    <row r="5" spans="1:25" ht="34" x14ac:dyDescent="0.2">
      <c r="A5" s="66"/>
      <c r="B5" s="10" t="s">
        <v>60</v>
      </c>
      <c r="C5" s="53">
        <v>3</v>
      </c>
      <c r="D5" s="53">
        <v>5</v>
      </c>
      <c r="E5" s="17">
        <v>1</v>
      </c>
      <c r="F5" s="29">
        <f t="shared" si="0"/>
        <v>4</v>
      </c>
      <c r="G5" s="7">
        <f t="shared" si="1"/>
        <v>10.666666666666668</v>
      </c>
      <c r="H5" s="68"/>
      <c r="J5" s="39" t="s">
        <v>107</v>
      </c>
      <c r="K5" s="7">
        <f>AVERAGE(G10:G11)</f>
        <v>7.3333333333333339</v>
      </c>
      <c r="L5" s="7">
        <f>STDEV(G10:G11)</f>
        <v>0.94280904158206247</v>
      </c>
      <c r="M5" s="46">
        <v>3.0193236714975842</v>
      </c>
      <c r="N5" s="21">
        <f>TTEST(G3:G5,G9:G11,2,2)</f>
        <v>0.70899096804582273</v>
      </c>
      <c r="O5" s="13">
        <f>IF(K5/$K$3&gt;=1,K5/$K$3,-$K$3/K5)</f>
        <v>1.5</v>
      </c>
    </row>
    <row r="6" spans="1:25" ht="15" customHeight="1" x14ac:dyDescent="0.2">
      <c r="A6" s="67" t="s">
        <v>106</v>
      </c>
      <c r="B6" s="10" t="s">
        <v>39</v>
      </c>
      <c r="C6" s="53"/>
      <c r="D6" s="53"/>
      <c r="E6" s="17">
        <v>1</v>
      </c>
      <c r="F6" s="1" t="e">
        <f t="shared" si="0"/>
        <v>#DIV/0!</v>
      </c>
      <c r="G6" s="7" t="e">
        <f t="shared" si="1"/>
        <v>#DIV/0!</v>
      </c>
      <c r="H6" s="68" t="e">
        <f>TTEST(G6:G8,G3:G5,2,2)</f>
        <v>#DIV/0!</v>
      </c>
      <c r="J6" s="39" t="s">
        <v>103</v>
      </c>
      <c r="K6" s="7">
        <f>AVERAGE(G12:G14)</f>
        <v>0.44444444444444448</v>
      </c>
      <c r="L6" s="7">
        <f>STDEV(G12:G13)</f>
        <v>0.94280904158206347</v>
      </c>
      <c r="M6" s="46">
        <v>0.27777777777777779</v>
      </c>
      <c r="N6" s="21">
        <f>TTEST(G3:G5,G12:G14,2,2)</f>
        <v>0.23019964108049898</v>
      </c>
      <c r="O6" s="13">
        <f>IF(K6/$K$3&gt;=1,K6/$K$3,-$K$3/K6)</f>
        <v>-11</v>
      </c>
    </row>
    <row r="7" spans="1:25" ht="15" customHeight="1" x14ac:dyDescent="0.2">
      <c r="A7" s="67"/>
      <c r="B7" s="10" t="s">
        <v>40</v>
      </c>
      <c r="C7" s="53"/>
      <c r="D7" s="53"/>
      <c r="E7" s="17">
        <v>1</v>
      </c>
      <c r="F7" s="1" t="e">
        <f t="shared" si="0"/>
        <v>#DIV/0!</v>
      </c>
      <c r="G7" s="7" t="e">
        <f t="shared" si="1"/>
        <v>#DIV/0!</v>
      </c>
      <c r="H7" s="68"/>
    </row>
    <row r="8" spans="1:25" x14ac:dyDescent="0.2">
      <c r="A8" s="67"/>
      <c r="B8" s="10" t="s">
        <v>63</v>
      </c>
      <c r="C8" s="53"/>
      <c r="D8" s="53"/>
      <c r="E8" s="17">
        <v>1</v>
      </c>
      <c r="F8" s="1" t="e">
        <f t="shared" si="0"/>
        <v>#DIV/0!</v>
      </c>
      <c r="G8" s="7" t="e">
        <f t="shared" si="1"/>
        <v>#DIV/0!</v>
      </c>
      <c r="H8" s="68"/>
    </row>
    <row r="9" spans="1:25" ht="15" customHeight="1" x14ac:dyDescent="0.2">
      <c r="A9" s="67" t="s">
        <v>108</v>
      </c>
      <c r="B9" s="10" t="s">
        <v>41</v>
      </c>
      <c r="C9" s="53">
        <v>2</v>
      </c>
      <c r="D9" s="53">
        <v>1</v>
      </c>
      <c r="E9" s="17">
        <v>1</v>
      </c>
      <c r="F9" s="1">
        <f t="shared" si="0"/>
        <v>1.5</v>
      </c>
      <c r="G9" s="7">
        <f t="shared" si="1"/>
        <v>4</v>
      </c>
      <c r="H9" s="68">
        <f>TTEST(G9:G11,G3:G5,2,2)</f>
        <v>0.70899096804582273</v>
      </c>
      <c r="J9" s="14"/>
    </row>
    <row r="10" spans="1:25" x14ac:dyDescent="0.2">
      <c r="A10" s="67"/>
      <c r="B10" s="10" t="s">
        <v>42</v>
      </c>
      <c r="C10" s="53">
        <v>4</v>
      </c>
      <c r="D10" s="53">
        <v>1</v>
      </c>
      <c r="E10" s="17">
        <v>1</v>
      </c>
      <c r="F10" s="1">
        <f t="shared" si="0"/>
        <v>2.5</v>
      </c>
      <c r="G10" s="7">
        <f t="shared" si="1"/>
        <v>6.6666666666666679</v>
      </c>
      <c r="H10" s="68"/>
    </row>
    <row r="11" spans="1:25" ht="15" customHeight="1" x14ac:dyDescent="0.2">
      <c r="A11" s="67"/>
      <c r="B11" s="10" t="s">
        <v>61</v>
      </c>
      <c r="C11" s="53">
        <v>5</v>
      </c>
      <c r="D11" s="53">
        <v>1</v>
      </c>
      <c r="E11" s="17">
        <v>1</v>
      </c>
      <c r="F11" s="1">
        <f t="shared" si="0"/>
        <v>3</v>
      </c>
      <c r="G11" s="7">
        <f t="shared" si="1"/>
        <v>8</v>
      </c>
      <c r="H11" s="68"/>
    </row>
    <row r="12" spans="1:25" x14ac:dyDescent="0.2">
      <c r="A12" s="67" t="s">
        <v>103</v>
      </c>
      <c r="B12" s="10" t="s">
        <v>43</v>
      </c>
      <c r="C12" s="53">
        <v>0</v>
      </c>
      <c r="D12" s="53">
        <v>0</v>
      </c>
      <c r="E12" s="17">
        <v>1</v>
      </c>
      <c r="F12" s="1">
        <f t="shared" si="0"/>
        <v>0</v>
      </c>
      <c r="G12" s="7">
        <f t="shared" si="1"/>
        <v>0</v>
      </c>
      <c r="H12" s="68">
        <f>TTEST(G12:G13,G3:G5,2,2)</f>
        <v>0.37348875709799806</v>
      </c>
    </row>
    <row r="13" spans="1:25" ht="15" customHeight="1" x14ac:dyDescent="0.2">
      <c r="A13" s="67"/>
      <c r="B13" s="10" t="s">
        <v>44</v>
      </c>
      <c r="C13" s="53">
        <v>1</v>
      </c>
      <c r="D13" s="53">
        <v>0</v>
      </c>
      <c r="E13" s="17">
        <v>1</v>
      </c>
      <c r="F13" s="1">
        <f t="shared" si="0"/>
        <v>0.5</v>
      </c>
      <c r="G13" s="7">
        <f t="shared" si="1"/>
        <v>1.3333333333333335</v>
      </c>
      <c r="H13" s="68"/>
    </row>
    <row r="14" spans="1:25" x14ac:dyDescent="0.2">
      <c r="A14" s="67"/>
      <c r="B14" s="10" t="s">
        <v>62</v>
      </c>
      <c r="C14" s="53">
        <v>0</v>
      </c>
      <c r="D14" s="53">
        <v>0</v>
      </c>
      <c r="E14" s="17">
        <v>1</v>
      </c>
      <c r="F14" s="1">
        <f t="shared" si="0"/>
        <v>0</v>
      </c>
      <c r="G14" s="7">
        <f t="shared" si="1"/>
        <v>0</v>
      </c>
      <c r="H14" s="68"/>
    </row>
    <row r="15" spans="1:25" x14ac:dyDescent="0.2">
      <c r="A15" s="33" t="s">
        <v>68</v>
      </c>
      <c r="B15" s="10"/>
      <c r="C15" s="56">
        <v>0</v>
      </c>
      <c r="D15" s="56"/>
      <c r="E15" s="17">
        <v>1</v>
      </c>
      <c r="F15" s="1" t="s">
        <v>37</v>
      </c>
      <c r="G15" s="7" t="s">
        <v>37</v>
      </c>
    </row>
    <row r="16" spans="1:25" x14ac:dyDescent="0.2">
      <c r="A16" s="33" t="s">
        <v>69</v>
      </c>
      <c r="B16" s="10"/>
      <c r="C16" s="17">
        <v>0</v>
      </c>
      <c r="D16" s="17"/>
      <c r="E16" s="17">
        <v>1</v>
      </c>
      <c r="F16" s="1" t="s">
        <v>37</v>
      </c>
      <c r="G16" s="7" t="s">
        <v>37</v>
      </c>
      <c r="H16" s="14"/>
    </row>
    <row r="17" spans="1:8" x14ac:dyDescent="0.2">
      <c r="A17" s="36" t="s">
        <v>101</v>
      </c>
      <c r="H17" s="14"/>
    </row>
    <row r="18" spans="1:8" x14ac:dyDescent="0.2">
      <c r="A18" s="36" t="s">
        <v>54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F86D-8BF1-404E-BDCE-D9FB218D71B8}">
  <sheetPr>
    <pageSetUpPr fitToPage="1"/>
  </sheetPr>
  <dimension ref="A1:V26"/>
  <sheetViews>
    <sheetView showRuler="0" topLeftCell="F1" workbookViewId="0">
      <selection activeCell="O3" sqref="O3:O6"/>
    </sheetView>
  </sheetViews>
  <sheetFormatPr baseColWidth="10" defaultColWidth="10.6640625" defaultRowHeight="16" x14ac:dyDescent="0.2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2">
      <c r="A1" s="3" t="s">
        <v>0</v>
      </c>
      <c r="B1" s="3"/>
      <c r="C1" s="62" t="s">
        <v>55</v>
      </c>
      <c r="D1" s="62"/>
      <c r="E1" s="62"/>
      <c r="F1" s="58"/>
      <c r="G1" s="62" t="s">
        <v>56</v>
      </c>
      <c r="H1" s="62"/>
      <c r="I1" s="62"/>
      <c r="J1" s="59"/>
    </row>
    <row r="2" spans="1:22" ht="51" x14ac:dyDescent="0.2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0" t="s">
        <v>31</v>
      </c>
      <c r="L2" s="50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0" t="s">
        <v>53</v>
      </c>
      <c r="S2" s="16" t="s">
        <v>67</v>
      </c>
      <c r="T2" s="16" t="s">
        <v>59</v>
      </c>
    </row>
    <row r="3" spans="1:22" ht="17" x14ac:dyDescent="0.2">
      <c r="A3" s="66" t="s">
        <v>102</v>
      </c>
      <c r="B3" s="10" t="s">
        <v>36</v>
      </c>
      <c r="C3" s="17">
        <v>17</v>
      </c>
      <c r="D3" s="17"/>
      <c r="E3" s="32"/>
      <c r="F3" s="32"/>
      <c r="G3" s="17">
        <v>11</v>
      </c>
      <c r="H3" s="17"/>
      <c r="I3" s="32"/>
      <c r="J3" s="32"/>
      <c r="K3" s="48">
        <v>1</v>
      </c>
      <c r="L3" s="47">
        <f>AVERAGE(C3,G3)</f>
        <v>14</v>
      </c>
      <c r="M3" s="7">
        <f t="shared" ref="M3:M12" si="0">(L3/(0.01*K3))*0.2</f>
        <v>280</v>
      </c>
      <c r="N3" s="14"/>
      <c r="O3" s="9" t="s">
        <v>102</v>
      </c>
      <c r="P3" s="7">
        <f>AVERAGE(M3:M5)</f>
        <v>290</v>
      </c>
      <c r="Q3" s="7">
        <f>STDEV(M3:M5)</f>
        <v>285.13154858766507</v>
      </c>
      <c r="R3" s="46">
        <v>3.1400966183574881</v>
      </c>
      <c r="S3" s="1"/>
      <c r="T3" s="13">
        <f>IF(P3/$P$3&gt;=1,P3/$P$3,-$P$3/P3)</f>
        <v>1</v>
      </c>
    </row>
    <row r="4" spans="1:22" ht="17" x14ac:dyDescent="0.2">
      <c r="A4" s="66"/>
      <c r="B4" s="10" t="s">
        <v>38</v>
      </c>
      <c r="C4" s="17">
        <v>0</v>
      </c>
      <c r="D4" s="17"/>
      <c r="E4" s="32"/>
      <c r="F4" s="32"/>
      <c r="G4" s="17">
        <v>1</v>
      </c>
      <c r="H4" s="17"/>
      <c r="I4" s="32"/>
      <c r="J4" s="32"/>
      <c r="K4" s="48">
        <v>1</v>
      </c>
      <c r="L4" s="47">
        <f t="shared" ref="L4:L14" si="1">AVERAGE(C4,G4)</f>
        <v>0.5</v>
      </c>
      <c r="M4" s="7">
        <f t="shared" si="0"/>
        <v>10</v>
      </c>
      <c r="N4" s="14"/>
      <c r="O4" s="39" t="s">
        <v>106</v>
      </c>
      <c r="P4" s="7">
        <f>AVERAGE(M6:M8)</f>
        <v>0</v>
      </c>
      <c r="Q4" s="7">
        <f>STDEV(M6:M8)</f>
        <v>0</v>
      </c>
      <c r="R4" s="46">
        <v>0</v>
      </c>
      <c r="S4" s="21">
        <f>TTEST(M3:M5,M6:M8,2,2)</f>
        <v>0.15292659515305168</v>
      </c>
      <c r="T4" s="13" t="e">
        <f>IF(P4/$P$3&gt;=1,P4/$P$3,-$P$3/P4)</f>
        <v>#DIV/0!</v>
      </c>
    </row>
    <row r="5" spans="1:22" ht="34" x14ac:dyDescent="0.2">
      <c r="A5" s="66"/>
      <c r="B5" s="10" t="s">
        <v>60</v>
      </c>
      <c r="C5" s="48">
        <v>24</v>
      </c>
      <c r="D5" s="48"/>
      <c r="E5" s="51"/>
      <c r="F5" s="51"/>
      <c r="G5" s="48">
        <v>34</v>
      </c>
      <c r="H5" s="48"/>
      <c r="I5" s="51"/>
      <c r="J5" s="51"/>
      <c r="K5" s="48">
        <v>1</v>
      </c>
      <c r="L5" s="47">
        <f t="shared" si="1"/>
        <v>29</v>
      </c>
      <c r="M5" s="7">
        <f t="shared" si="0"/>
        <v>580</v>
      </c>
      <c r="N5" s="14"/>
      <c r="O5" s="39" t="s">
        <v>107</v>
      </c>
      <c r="P5" s="7">
        <f>AVERAGE(M9:M11)</f>
        <v>223.33333333333334</v>
      </c>
      <c r="Q5" s="7">
        <f>STDEV(M9:M11)</f>
        <v>80.208062770106395</v>
      </c>
      <c r="R5" s="46">
        <v>3.0193236714975842</v>
      </c>
      <c r="S5" s="21">
        <f>TTEST(M3:M5,M9:M11,2,2)</f>
        <v>0.71652193390376984</v>
      </c>
      <c r="T5" s="13">
        <f>IF(P5/$P$3&gt;=1,P5/$P$3,-$P$3/P5)</f>
        <v>-1.2985074626865671</v>
      </c>
      <c r="U5" s="21"/>
    </row>
    <row r="6" spans="1:22" ht="17" x14ac:dyDescent="0.2">
      <c r="A6" s="67" t="s">
        <v>106</v>
      </c>
      <c r="B6" s="10" t="s">
        <v>39</v>
      </c>
      <c r="C6" s="48">
        <v>0</v>
      </c>
      <c r="D6" s="48"/>
      <c r="E6" s="51"/>
      <c r="F6" s="51"/>
      <c r="G6" s="48"/>
      <c r="H6" s="48"/>
      <c r="I6" s="51"/>
      <c r="J6" s="51"/>
      <c r="K6" s="48">
        <v>1</v>
      </c>
      <c r="L6" s="47">
        <f t="shared" si="1"/>
        <v>0</v>
      </c>
      <c r="M6" s="7">
        <f t="shared" si="0"/>
        <v>0</v>
      </c>
      <c r="N6" s="14"/>
      <c r="O6" s="39" t="s">
        <v>103</v>
      </c>
      <c r="P6" s="7">
        <f>AVERAGE(M12:M14)</f>
        <v>0</v>
      </c>
      <c r="Q6" s="7">
        <f>STDEV(M12:M14)</f>
        <v>0</v>
      </c>
      <c r="R6" s="46">
        <v>0.27777777777777779</v>
      </c>
      <c r="S6" s="21">
        <f>TTEST(M3:M5,M12:M14,2,2)</f>
        <v>0.15292659515305168</v>
      </c>
      <c r="T6" s="13" t="e">
        <f>IF(P6/$P$3&gt;=1,P6/$P$3,-$P$3/P6)</f>
        <v>#DIV/0!</v>
      </c>
      <c r="U6" s="20"/>
      <c r="V6" s="14"/>
    </row>
    <row r="7" spans="1:22" ht="15" customHeight="1" x14ac:dyDescent="0.2">
      <c r="A7" s="67"/>
      <c r="B7" s="10" t="s">
        <v>40</v>
      </c>
      <c r="C7" s="48">
        <v>0</v>
      </c>
      <c r="D7" s="48"/>
      <c r="E7" s="51"/>
      <c r="F7" s="51"/>
      <c r="G7" s="48"/>
      <c r="H7" s="48"/>
      <c r="I7" s="51"/>
      <c r="J7" s="51"/>
      <c r="K7" s="48">
        <v>1</v>
      </c>
      <c r="L7" s="47">
        <f t="shared" si="1"/>
        <v>0</v>
      </c>
      <c r="M7" s="7">
        <f t="shared" si="0"/>
        <v>0</v>
      </c>
      <c r="N7" s="14"/>
      <c r="U7" s="20"/>
    </row>
    <row r="8" spans="1:22" ht="15" customHeight="1" x14ac:dyDescent="0.2">
      <c r="A8" s="67"/>
      <c r="B8" s="10" t="s">
        <v>63</v>
      </c>
      <c r="C8" s="48">
        <v>0</v>
      </c>
      <c r="D8" s="48"/>
      <c r="E8" s="51"/>
      <c r="F8" s="51"/>
      <c r="G8" s="48"/>
      <c r="H8" s="48"/>
      <c r="I8" s="51"/>
      <c r="J8" s="51"/>
      <c r="K8" s="48">
        <v>1</v>
      </c>
      <c r="L8" s="47">
        <f t="shared" si="1"/>
        <v>0</v>
      </c>
      <c r="M8" s="7">
        <f t="shared" ref="M8:M11" si="2">(L8/(0.01*K8))*0.2</f>
        <v>0</v>
      </c>
      <c r="N8" s="14"/>
    </row>
    <row r="9" spans="1:22" ht="15" customHeight="1" x14ac:dyDescent="0.2">
      <c r="A9" s="67" t="s">
        <v>108</v>
      </c>
      <c r="B9" s="10" t="s">
        <v>41</v>
      </c>
      <c r="C9" s="53">
        <v>13</v>
      </c>
      <c r="D9" s="53"/>
      <c r="E9" s="53"/>
      <c r="F9" s="53"/>
      <c r="G9" s="52">
        <v>10</v>
      </c>
      <c r="H9" s="53"/>
      <c r="I9" s="53"/>
      <c r="J9" s="53"/>
      <c r="K9" s="48">
        <v>1</v>
      </c>
      <c r="L9" s="47">
        <f t="shared" si="1"/>
        <v>11.5</v>
      </c>
      <c r="M9" s="7">
        <f t="shared" si="2"/>
        <v>230</v>
      </c>
      <c r="N9" s="14"/>
    </row>
    <row r="10" spans="1:22" x14ac:dyDescent="0.2">
      <c r="A10" s="67"/>
      <c r="B10" s="10" t="s">
        <v>42</v>
      </c>
      <c r="C10" s="53">
        <v>14</v>
      </c>
      <c r="D10" s="53"/>
      <c r="E10" s="53"/>
      <c r="F10" s="53"/>
      <c r="G10" s="53">
        <v>16</v>
      </c>
      <c r="H10" s="53"/>
      <c r="I10" s="53"/>
      <c r="J10" s="53"/>
      <c r="K10" s="48">
        <v>1</v>
      </c>
      <c r="L10" s="47">
        <f t="shared" si="1"/>
        <v>15</v>
      </c>
      <c r="M10" s="7">
        <f t="shared" si="2"/>
        <v>300</v>
      </c>
      <c r="N10" s="14"/>
    </row>
    <row r="11" spans="1:22" ht="15" customHeight="1" x14ac:dyDescent="0.2">
      <c r="A11" s="67"/>
      <c r="B11" s="10" t="s">
        <v>61</v>
      </c>
      <c r="C11" s="53">
        <v>5</v>
      </c>
      <c r="D11" s="53"/>
      <c r="E11" s="53"/>
      <c r="F11" s="53"/>
      <c r="G11" s="53">
        <v>9</v>
      </c>
      <c r="H11" s="53"/>
      <c r="I11" s="53"/>
      <c r="J11" s="53"/>
      <c r="K11" s="48">
        <v>1</v>
      </c>
      <c r="L11" s="47">
        <f t="shared" si="1"/>
        <v>7</v>
      </c>
      <c r="M11" s="7">
        <f t="shared" si="2"/>
        <v>140</v>
      </c>
      <c r="N11" s="14"/>
    </row>
    <row r="12" spans="1:22" ht="16" customHeight="1" x14ac:dyDescent="0.2">
      <c r="A12" s="67" t="s">
        <v>103</v>
      </c>
      <c r="B12" s="10" t="s">
        <v>43</v>
      </c>
      <c r="C12" s="53">
        <v>0</v>
      </c>
      <c r="D12" s="53"/>
      <c r="E12" s="53"/>
      <c r="F12" s="53"/>
      <c r="G12" s="52"/>
      <c r="H12" s="53"/>
      <c r="I12" s="53"/>
      <c r="J12" s="53"/>
      <c r="K12" s="48">
        <v>1</v>
      </c>
      <c r="L12" s="47">
        <f t="shared" si="1"/>
        <v>0</v>
      </c>
      <c r="M12" s="7">
        <f t="shared" si="0"/>
        <v>0</v>
      </c>
      <c r="N12" s="14"/>
    </row>
    <row r="13" spans="1:22" ht="15" customHeight="1" x14ac:dyDescent="0.2">
      <c r="A13" s="67"/>
      <c r="B13" s="10" t="s">
        <v>44</v>
      </c>
      <c r="C13" s="53">
        <v>0</v>
      </c>
      <c r="D13" s="53"/>
      <c r="E13" s="53"/>
      <c r="F13" s="53"/>
      <c r="G13" s="53"/>
      <c r="H13" s="53"/>
      <c r="I13" s="53"/>
      <c r="J13" s="53"/>
      <c r="K13" s="48">
        <v>1</v>
      </c>
      <c r="L13" s="47">
        <f t="shared" si="1"/>
        <v>0</v>
      </c>
      <c r="M13" s="7">
        <f t="shared" ref="M13:M14" si="3">(L13/(0.01*K13))*0.2</f>
        <v>0</v>
      </c>
      <c r="N13" s="14"/>
    </row>
    <row r="14" spans="1:22" x14ac:dyDescent="0.2">
      <c r="A14" s="67"/>
      <c r="B14" s="10" t="s">
        <v>62</v>
      </c>
      <c r="C14" s="53">
        <v>0</v>
      </c>
      <c r="D14" s="53"/>
      <c r="E14" s="53"/>
      <c r="F14" s="53"/>
      <c r="G14" s="53"/>
      <c r="H14" s="53"/>
      <c r="I14" s="53"/>
      <c r="J14" s="53"/>
      <c r="K14" s="48">
        <v>1</v>
      </c>
      <c r="L14" s="47">
        <f t="shared" si="1"/>
        <v>0</v>
      </c>
      <c r="M14" s="7">
        <f t="shared" si="3"/>
        <v>0</v>
      </c>
      <c r="N14" s="14"/>
    </row>
    <row r="15" spans="1:22" x14ac:dyDescent="0.2">
      <c r="A15" s="33" t="s">
        <v>64</v>
      </c>
      <c r="B15" s="10"/>
      <c r="C15" s="48">
        <v>0</v>
      </c>
      <c r="D15" s="48" t="s">
        <v>37</v>
      </c>
      <c r="E15" s="48" t="s">
        <v>37</v>
      </c>
      <c r="F15" s="48" t="s">
        <v>37</v>
      </c>
      <c r="G15" s="48">
        <v>0</v>
      </c>
      <c r="H15" s="48" t="s">
        <v>37</v>
      </c>
      <c r="I15" s="48" t="s">
        <v>37</v>
      </c>
      <c r="J15" s="48" t="s">
        <v>37</v>
      </c>
      <c r="K15" s="48">
        <v>1</v>
      </c>
      <c r="L15" s="29">
        <v>0</v>
      </c>
      <c r="M15" s="7">
        <f>(L15/(0.1*K15))*0.2</f>
        <v>0</v>
      </c>
      <c r="N15" s="14"/>
    </row>
    <row r="16" spans="1:22" x14ac:dyDescent="0.2">
      <c r="A16" s="33" t="s">
        <v>65</v>
      </c>
      <c r="B16" s="10"/>
      <c r="C16" s="48">
        <v>0</v>
      </c>
      <c r="D16" s="48" t="s">
        <v>37</v>
      </c>
      <c r="E16" s="48" t="s">
        <v>37</v>
      </c>
      <c r="F16" s="48" t="s">
        <v>37</v>
      </c>
      <c r="G16" s="48">
        <v>0</v>
      </c>
      <c r="H16" s="48" t="s">
        <v>37</v>
      </c>
      <c r="I16" s="48" t="s">
        <v>37</v>
      </c>
      <c r="J16" s="48" t="s">
        <v>37</v>
      </c>
      <c r="K16" s="48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2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2">
      <c r="A18" s="69"/>
      <c r="B18" s="69"/>
      <c r="C18" s="69"/>
    </row>
    <row r="19" spans="1:14" x14ac:dyDescent="0.2">
      <c r="A19" s="69" t="s">
        <v>57</v>
      </c>
      <c r="B19" s="69"/>
      <c r="C19" s="69"/>
      <c r="D19" s="36"/>
    </row>
    <row r="25" spans="1:14" x14ac:dyDescent="0.2">
      <c r="I25" s="14"/>
      <c r="J25" s="14"/>
    </row>
    <row r="26" spans="1:14" x14ac:dyDescent="0.2">
      <c r="I26" s="14"/>
      <c r="J26" s="14"/>
    </row>
  </sheetData>
  <mergeCells count="8">
    <mergeCell ref="A18:C18"/>
    <mergeCell ref="A19:C19"/>
    <mergeCell ref="C1:E1"/>
    <mergeCell ref="G1:I1"/>
    <mergeCell ref="A3:A5"/>
    <mergeCell ref="A6:A8"/>
    <mergeCell ref="A9:A11"/>
    <mergeCell ref="A12:A14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K5"/>
  <sheetViews>
    <sheetView tabSelected="1" workbookViewId="0">
      <selection activeCell="L15" sqref="L15"/>
    </sheetView>
  </sheetViews>
  <sheetFormatPr baseColWidth="10" defaultColWidth="8.83203125" defaultRowHeight="16" x14ac:dyDescent="0.2"/>
  <cols>
    <col min="1" max="1" width="17.5" customWidth="1"/>
    <col min="7" max="7" width="12.33203125" customWidth="1"/>
    <col min="8" max="8" width="4" hidden="1" customWidth="1"/>
    <col min="9" max="9" width="15.83203125" customWidth="1"/>
    <col min="11" max="11" width="9.1640625" bestFit="1" customWidth="1"/>
  </cols>
  <sheetData>
    <row r="1" spans="1:11" x14ac:dyDescent="0.2">
      <c r="B1" t="s">
        <v>94</v>
      </c>
      <c r="C1" t="s">
        <v>52</v>
      </c>
      <c r="D1" t="s">
        <v>95</v>
      </c>
      <c r="E1" t="s">
        <v>52</v>
      </c>
      <c r="F1" t="s">
        <v>97</v>
      </c>
      <c r="G1" s="16"/>
      <c r="I1" t="s">
        <v>100</v>
      </c>
      <c r="J1" t="s">
        <v>98</v>
      </c>
      <c r="K1" t="s">
        <v>99</v>
      </c>
    </row>
    <row r="2" spans="1:11" ht="17" x14ac:dyDescent="0.2">
      <c r="A2" s="9" t="s">
        <v>102</v>
      </c>
      <c r="B2">
        <v>4.8888888888888893</v>
      </c>
      <c r="D2">
        <v>290</v>
      </c>
      <c r="E2" s="7"/>
      <c r="F2">
        <f>D2/B2</f>
        <v>59.318181818181813</v>
      </c>
      <c r="G2" s="1"/>
      <c r="I2" s="10"/>
      <c r="J2">
        <v>135</v>
      </c>
      <c r="K2">
        <f>(22*60)/(3.3*LOG(D2/B2))</f>
        <v>225.58241887312226</v>
      </c>
    </row>
    <row r="3" spans="1:11" ht="17" x14ac:dyDescent="0.2">
      <c r="A3" s="39" t="s">
        <v>106</v>
      </c>
      <c r="B3" t="e">
        <v>#DIV/0!</v>
      </c>
      <c r="D3">
        <v>0</v>
      </c>
      <c r="F3" t="e">
        <f t="shared" ref="F3:F5" si="0">D3/B3</f>
        <v>#DIV/0!</v>
      </c>
      <c r="G3" s="21"/>
      <c r="I3" s="54"/>
      <c r="K3" t="e">
        <f t="shared" ref="K3:K5" si="1">(22*60)/(3.3*LOG(D3/B3))</f>
        <v>#DIV/0!</v>
      </c>
    </row>
    <row r="4" spans="1:11" ht="20" customHeight="1" x14ac:dyDescent="0.2">
      <c r="A4" s="39" t="s">
        <v>107</v>
      </c>
      <c r="B4">
        <v>7.3333333333333339</v>
      </c>
      <c r="D4">
        <v>223.33333333333334</v>
      </c>
      <c r="F4">
        <f t="shared" si="0"/>
        <v>30.454545454545453</v>
      </c>
      <c r="G4" s="21"/>
      <c r="I4" s="54"/>
      <c r="J4" s="57">
        <v>179</v>
      </c>
      <c r="K4">
        <f t="shared" si="1"/>
        <v>269.60497956455896</v>
      </c>
    </row>
    <row r="5" spans="1:11" ht="17" x14ac:dyDescent="0.2">
      <c r="A5" s="39" t="s">
        <v>103</v>
      </c>
      <c r="B5">
        <v>0.44444444444444448</v>
      </c>
      <c r="D5">
        <v>0</v>
      </c>
      <c r="F5">
        <f t="shared" si="0"/>
        <v>0</v>
      </c>
      <c r="G5" s="21"/>
      <c r="I5" s="54"/>
      <c r="J5" s="57"/>
      <c r="K5" t="e">
        <f t="shared" si="1"/>
        <v>#NUM!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Plate Needs</vt:lpstr>
      <vt:lpstr>Inoculum</vt:lpstr>
      <vt:lpstr>T=2</vt:lpstr>
      <vt:lpstr>T=24</vt:lpstr>
      <vt:lpstr>2 vs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Microsoft Office User</cp:lastModifiedBy>
  <cp:lastPrinted>2020-09-21T20:12:33Z</cp:lastPrinted>
  <dcterms:created xsi:type="dcterms:W3CDTF">2016-02-15T21:32:37Z</dcterms:created>
  <dcterms:modified xsi:type="dcterms:W3CDTF">2020-09-29T15:24:49Z</dcterms:modified>
</cp:coreProperties>
</file>