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Macrophage assays\"/>
    </mc:Choice>
  </mc:AlternateContent>
  <xr:revisionPtr revIDLastSave="0" documentId="13_ncr:1_{6C3AEAA0-5FD4-45DE-8B74-9E66E486F125}" xr6:coauthVersionLast="46" xr6:coauthVersionMax="46" xr10:uidLastSave="{00000000-0000-0000-0000-000000000000}"/>
  <bookViews>
    <workbookView xWindow="0" yWindow="330" windowWidth="17890" windowHeight="10230" tabRatio="500" firstSheet="3" activeTab="7" xr2:uid="{00000000-000D-0000-FFFF-FFFF00000000}"/>
  </bookViews>
  <sheets>
    <sheet name="ExperimentalSetup" sheetId="1" r:id="rId1"/>
    <sheet name="Plate Needs" sheetId="5" r:id="rId2"/>
    <sheet name="Inoculum Setup" sheetId="6" r:id="rId3"/>
    <sheet name="Inoculum" sheetId="2" r:id="rId4"/>
    <sheet name="T=2" sheetId="4" r:id="rId5"/>
    <sheet name="T=24" sheetId="3" r:id="rId6"/>
    <sheet name="2 vs 24" sheetId="7" r:id="rId7"/>
    <sheet name="Fold Chang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8" l="1"/>
  <c r="E8" i="8"/>
  <c r="E5" i="8"/>
  <c r="E2" i="8"/>
  <c r="G3" i="8"/>
  <c r="D11" i="8"/>
  <c r="D8" i="8"/>
  <c r="D6" i="8"/>
  <c r="D5" i="8"/>
  <c r="H4" i="8" s="1"/>
  <c r="D4" i="8"/>
  <c r="D3" i="8"/>
  <c r="D2" i="8"/>
  <c r="D13" i="8"/>
  <c r="D12" i="8"/>
  <c r="D10" i="8"/>
  <c r="D9" i="8"/>
  <c r="D7" i="8"/>
  <c r="G4" i="8" l="1"/>
  <c r="G5" i="8"/>
  <c r="H5" i="8"/>
  <c r="G3" i="7" l="1"/>
  <c r="G4" i="7"/>
  <c r="G5" i="7"/>
  <c r="G2" i="7"/>
  <c r="K3" i="7" l="1"/>
  <c r="K4" i="7"/>
  <c r="K5" i="7"/>
  <c r="K2" i="7"/>
  <c r="F14" i="4" l="1"/>
  <c r="G14" i="4" s="1"/>
  <c r="F5" i="7" l="1"/>
  <c r="M6" i="3"/>
  <c r="L14" i="3"/>
  <c r="M14" i="3" s="1"/>
  <c r="L13" i="3"/>
  <c r="M13" i="3" s="1"/>
  <c r="L12" i="3"/>
  <c r="M12" i="3" s="1"/>
  <c r="L10" i="3"/>
  <c r="L11" i="3"/>
  <c r="L9" i="3"/>
  <c r="L7" i="3"/>
  <c r="M7" i="3" s="1"/>
  <c r="L8" i="3"/>
  <c r="M8" i="3" s="1"/>
  <c r="L6" i="3"/>
  <c r="L3" i="3"/>
  <c r="H5" i="2"/>
  <c r="H6" i="2"/>
  <c r="H7" i="2"/>
  <c r="H8" i="2"/>
  <c r="H9" i="2"/>
  <c r="H10" i="2"/>
  <c r="H3" i="2"/>
  <c r="P8" i="1" l="1"/>
  <c r="C6" i="5" l="1"/>
  <c r="B5" i="5"/>
  <c r="F3" i="7" l="1"/>
  <c r="F4" i="7"/>
  <c r="L5" i="3" l="1"/>
  <c r="F2" i="7" l="1"/>
  <c r="L4" i="3" l="1"/>
  <c r="B5" i="6" l="1"/>
  <c r="B4" i="6"/>
  <c r="B3" i="6"/>
  <c r="M3" i="3" l="1"/>
  <c r="C7" i="5" l="1"/>
  <c r="C8" i="5" s="1"/>
  <c r="B7" i="5"/>
  <c r="B8" i="5" s="1"/>
  <c r="Q8" i="1"/>
  <c r="Q24" i="1"/>
  <c r="Q10" i="1"/>
  <c r="Q18" i="1" s="1"/>
  <c r="Q20" i="1" s="1"/>
  <c r="Q22" i="1" s="1"/>
  <c r="Q4" i="1"/>
  <c r="B9" i="5" l="1"/>
  <c r="P10" i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M10" i="3"/>
  <c r="M11" i="3"/>
  <c r="M9" i="3"/>
  <c r="J3" i="2"/>
  <c r="L3" i="2" s="1"/>
  <c r="C14" i="2" s="1"/>
  <c r="P4" i="1"/>
  <c r="M4" i="3"/>
  <c r="M5" i="3"/>
  <c r="F13" i="4"/>
  <c r="G13" i="4" s="1"/>
  <c r="M15" i="3"/>
  <c r="L16" i="3"/>
  <c r="M16" i="3" s="1"/>
  <c r="D17" i="3"/>
  <c r="E17" i="3" s="1"/>
  <c r="F10" i="4"/>
  <c r="G10" i="4" s="1"/>
  <c r="F11" i="4"/>
  <c r="G11" i="4" s="1"/>
  <c r="F12" i="4"/>
  <c r="G12" i="4" s="1"/>
  <c r="F9" i="4"/>
  <c r="G9" i="4" s="1"/>
  <c r="D11" i="2"/>
  <c r="E11" i="2" s="1"/>
  <c r="F11" i="2" s="1"/>
  <c r="H17" i="3"/>
  <c r="I17" i="3" s="1"/>
  <c r="K6" i="4" l="1"/>
  <c r="N5" i="4"/>
  <c r="N6" i="4"/>
  <c r="L6" i="4"/>
  <c r="H12" i="4"/>
  <c r="P18" i="1"/>
  <c r="P20" i="1" s="1"/>
  <c r="P22" i="1" s="1"/>
  <c r="P23" i="1" s="1"/>
  <c r="P24" i="1" s="1"/>
  <c r="N4" i="4"/>
  <c r="K4" i="4"/>
  <c r="I5" i="2"/>
  <c r="K5" i="2" s="1"/>
  <c r="M5" i="2" s="1"/>
  <c r="Q5" i="3"/>
  <c r="P5" i="3"/>
  <c r="J5" i="2"/>
  <c r="L5" i="2" s="1"/>
  <c r="C15" i="2" s="1"/>
  <c r="P4" i="3"/>
  <c r="I7" i="2"/>
  <c r="K7" i="2" s="1"/>
  <c r="M7" i="2" s="1"/>
  <c r="I9" i="2"/>
  <c r="K9" i="2" s="1"/>
  <c r="M9" i="2" s="1"/>
  <c r="I3" i="2"/>
  <c r="K3" i="2" s="1"/>
  <c r="M3" i="2" s="1"/>
  <c r="J7" i="2"/>
  <c r="L7" i="2" s="1"/>
  <c r="C16" i="2" s="1"/>
  <c r="L4" i="4"/>
  <c r="K5" i="4"/>
  <c r="L5" i="4"/>
  <c r="P6" i="3"/>
  <c r="Q6" i="3"/>
  <c r="S6" i="3"/>
  <c r="Q3" i="3"/>
  <c r="P3" i="3"/>
  <c r="T3" i="3" s="1"/>
  <c r="S4" i="3"/>
  <c r="S5" i="3"/>
  <c r="H6" i="4"/>
  <c r="H3" i="4"/>
  <c r="K3" i="4"/>
  <c r="O3" i="4" s="1"/>
  <c r="H9" i="4"/>
  <c r="L3" i="4"/>
  <c r="Q4" i="3"/>
  <c r="J9" i="2"/>
  <c r="L9" i="2" s="1"/>
  <c r="C17" i="2" s="1"/>
  <c r="B15" i="2" l="1"/>
  <c r="B17" i="2"/>
  <c r="O6" i="4"/>
  <c r="B16" i="2"/>
  <c r="B14" i="2"/>
  <c r="O5" i="4"/>
  <c r="T4" i="3"/>
  <c r="T6" i="3"/>
  <c r="O4" i="4"/>
  <c r="T5" i="3"/>
</calcChain>
</file>

<file path=xl/sharedStrings.xml><?xml version="1.0" encoding="utf-8"?>
<sst xmlns="http://schemas.openxmlformats.org/spreadsheetml/2006/main" count="263" uniqueCount="124">
  <si>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</si>
  <si>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</si>
  <si>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</si>
  <si>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</si>
  <si>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</si>
  <si>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</si>
  <si>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</si>
  <si>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</si>
  <si>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</si>
  <si>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</si>
  <si>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</si>
  <si>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</si>
  <si>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</si>
  <si>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</si>
  <si>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</si>
  <si>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</si>
  <si>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</si>
  <si>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</si>
  <si>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</si>
  <si>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</si>
  <si>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</si>
  <si>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</si>
  <si>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</si>
  <si>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</si>
  <si>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</si>
  <si>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</si>
  <si>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</si>
  <si>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</si>
  <si>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</si>
  <si>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</si>
  <si>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</si>
  <si>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</si>
  <si>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</si>
  <si>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</si>
  <si>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</si>
  <si>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</si>
  <si>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</si>
  <si>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</si>
  <si>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</si>
  <si>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</si>
  <si>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</si>
  <si>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</si>
  <si>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</si>
  <si>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</si>
  <si>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</si>
  <si>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</si>
  <si>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</si>
  <si>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</si>
  <si>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</si>
  <si>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</si>
  <si>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</si>
  <si>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</si>
  <si>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</si>
  <si>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</si>
  <si>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</si>
  <si>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</si>
  <si>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</si>
  <si>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</si>
  <si>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</si>
  <si>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</si>
  <si>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</si>
  <si>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</si>
  <si>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</si>
  <si>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</si>
  <si>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</si>
  <si>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</si>
  <si>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</si>
  <si>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</si>
  <si>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</si>
  <si>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</si>
  <si>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</si>
  <si>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</si>
  <si>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</si>
  <si>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</si>
  <si>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</si>
  <si>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</si>
  <si>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</si>
  <si>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</si>
  <si>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</si>
  <si>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</si>
  <si>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</si>
  <si>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</si>
  <si>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</si>
  <si>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</si>
  <si>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</si>
  <si>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</si>
  <si>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</si>
  <si>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</si>
  <si>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</si>
  <si>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</si>
  <si>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</si>
  <si>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Undiluted inoculum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</si>
  <si>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</si>
  <si>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</si>
  <si>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</si>
  <si>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</si>
  <si>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</si>
  <si>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</si>
  <si>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Below is completed not in hood!</t>
  </si>
  <si>
    <t>St dev/well</t>
  </si>
  <si>
    <t>chart with 2 hour</t>
  </si>
  <si>
    <t>chart with fold change to two hour</t>
  </si>
  <si>
    <t>T=2</t>
  </si>
  <si>
    <t>T=24</t>
  </si>
  <si>
    <t>∆rpsU2 + pF</t>
  </si>
  <si>
    <t>LVS + pF</t>
  </si>
  <si>
    <t>∆rpsU2 + pKR7</t>
  </si>
  <si>
    <r>
      <t xml:space="preserve">∆rpsU2 </t>
    </r>
    <r>
      <rPr>
        <sz val="12"/>
        <color theme="1"/>
        <rFont val="Calibri"/>
        <family val="2"/>
        <scheme val="minor"/>
      </rPr>
      <t>+ pF-rpsU2</t>
    </r>
  </si>
  <si>
    <t>∆rpsU2 + pKR6</t>
  </si>
  <si>
    <t>Square: 3 wells plated in duplicate x 4 strains; Round: 2 control wells</t>
  </si>
  <si>
    <r>
      <t xml:space="preserve">∆rpsU2 </t>
    </r>
    <r>
      <rPr>
        <sz val="12"/>
        <color theme="1"/>
        <rFont val="Calibri"/>
        <family val="2"/>
        <scheme val="minor"/>
      </rPr>
      <t>+ pF-rpsU1</t>
    </r>
  </si>
  <si>
    <t>**hemacytometer count *2 * 10,000</t>
  </si>
  <si>
    <t>Fold change vs 2</t>
  </si>
  <si>
    <t>In Vitro</t>
  </si>
  <si>
    <t>In Vivo</t>
  </si>
  <si>
    <t>Generation Times</t>
  </si>
  <si>
    <t>Std Error</t>
  </si>
  <si>
    <t>t=2 hrs</t>
  </si>
  <si>
    <t>t=24 hrs</t>
  </si>
  <si>
    <t>Fold change</t>
  </si>
  <si>
    <t>t-test vs LVS</t>
  </si>
  <si>
    <t>t-test vs drpsU2</t>
  </si>
  <si>
    <t>∆rpsU2 + pF-rpsU1</t>
  </si>
  <si>
    <t>∆rpsU2 + pF-rpsU2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</si>
</sst>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16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165" fontId="0" fillId="0" borderId="1" xfId="0" applyNumberFormat="1" applyFill="1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10606.601717798198</c:v>
                  </c:pt>
                  <c:pt idx="2">
                    <c:v>14142.135623730952</c:v>
                  </c:pt>
                  <c:pt idx="3">
                    <c:v>45961.940777125485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10606.601717798198</c:v>
                  </c:pt>
                  <c:pt idx="2">
                    <c:v>14142.135623730952</c:v>
                  </c:pt>
                  <c:pt idx="3">
                    <c:v>45961.940777125485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pKR6</c:v>
                </c:pt>
                <c:pt idx="3">
                  <c:v>∆rpsU2 + pKR7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190000</c:v>
                </c:pt>
                <c:pt idx="1">
                  <c:v>137500</c:v>
                </c:pt>
                <c:pt idx="2">
                  <c:v>175000</c:v>
                </c:pt>
                <c:pt idx="3">
                  <c:v>162500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38.591881702416792</c:v>
                  </c:pt>
                  <c:pt idx="1">
                    <c:v>2</c:v>
                  </c:pt>
                  <c:pt idx="2">
                    <c:v>104.65180361560904</c:v>
                  </c:pt>
                  <c:pt idx="3">
                    <c:v>18.384776310850235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38.591881702416792</c:v>
                  </c:pt>
                  <c:pt idx="1">
                    <c:v>2</c:v>
                  </c:pt>
                  <c:pt idx="2">
                    <c:v>104.65180361560904</c:v>
                  </c:pt>
                  <c:pt idx="3">
                    <c:v>18.384776310850235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pKR6</c:v>
                </c:pt>
                <c:pt idx="3">
                  <c:v>∆rpsU2 + pKR7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126.66666666666667</c:v>
                </c:pt>
                <c:pt idx="1">
                  <c:v>58</c:v>
                </c:pt>
                <c:pt idx="2">
                  <c:v>130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8640.7947165369751</c:v>
                  </c:pt>
                  <c:pt idx="1">
                    <c:v>1307.669683062202</c:v>
                  </c:pt>
                  <c:pt idx="2">
                    <c:v>3538.832199092426</c:v>
                  </c:pt>
                  <c:pt idx="3">
                    <c:v>10981.044273352756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8640.7947165369751</c:v>
                  </c:pt>
                  <c:pt idx="1">
                    <c:v>1307.669683062202</c:v>
                  </c:pt>
                  <c:pt idx="2">
                    <c:v>3538.832199092426</c:v>
                  </c:pt>
                  <c:pt idx="3">
                    <c:v>10981.044273352756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pKR6</c:v>
                </c:pt>
                <c:pt idx="3">
                  <c:v>∆rpsU2 + pKR7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17933.333333333332</c:v>
                </c:pt>
                <c:pt idx="1">
                  <c:v>5500</c:v>
                </c:pt>
                <c:pt idx="2">
                  <c:v>6366.666666666667</c:v>
                </c:pt>
                <c:pt idx="3">
                  <c:v>22333.333333333332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24'!$C$2:$C$5</c:f>
                <c:numCache>
                  <c:formatCode>General</c:formatCode>
                  <c:ptCount val="4"/>
                  <c:pt idx="0">
                    <c:v>38.591881702416792</c:v>
                  </c:pt>
                  <c:pt idx="1">
                    <c:v>2</c:v>
                  </c:pt>
                  <c:pt idx="2">
                    <c:v>104.65180361560904</c:v>
                  </c:pt>
                  <c:pt idx="3">
                    <c:v>18.384776310850235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24'!$B$2:$B$5</c:f>
              <c:numCache>
                <c:formatCode>General</c:formatCode>
                <c:ptCount val="4"/>
                <c:pt idx="0">
                  <c:v>126.66666666666667</c:v>
                </c:pt>
                <c:pt idx="1">
                  <c:v>58</c:v>
                </c:pt>
                <c:pt idx="2">
                  <c:v>130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6FB-9425-FBB51D853FD1}"/>
            </c:ext>
          </c:extLst>
        </c:ser>
        <c:ser>
          <c:idx val="1"/>
          <c:order val="1"/>
          <c:tx>
            <c:strRef>
              <c:f>'2 vs 24'!$D$1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24'!$E$2:$E$5</c:f>
                <c:numCache>
                  <c:formatCode>General</c:formatCode>
                  <c:ptCount val="4"/>
                  <c:pt idx="0">
                    <c:v>8640.7947165369751</c:v>
                  </c:pt>
                  <c:pt idx="1">
                    <c:v>1307.669683062202</c:v>
                  </c:pt>
                  <c:pt idx="2">
                    <c:v>3538.832199092426</c:v>
                  </c:pt>
                  <c:pt idx="3">
                    <c:v>10981.044273352756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24'!$D$2:$D$5</c:f>
              <c:numCache>
                <c:formatCode>General</c:formatCode>
                <c:ptCount val="4"/>
                <c:pt idx="0">
                  <c:v>17933.333333333332</c:v>
                </c:pt>
                <c:pt idx="1">
                  <c:v>5500</c:v>
                </c:pt>
                <c:pt idx="2">
                  <c:v>6366.666666666667</c:v>
                </c:pt>
                <c:pt idx="3">
                  <c:v>22333.333333333332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D-46FB-9425-FBB51D85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1534086525701141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 (2 vs 24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24'!$A$1:$A$5</c:f>
              <c:strCache>
                <c:ptCount val="5"/>
                <c:pt idx="1">
                  <c:v>LVS + pF</c:v>
                </c:pt>
                <c:pt idx="2">
                  <c:v>∆rpsU2 + pF</c:v>
                </c:pt>
                <c:pt idx="3">
                  <c:v>∆rpsU2 + pF-rpsU1</c:v>
                </c:pt>
                <c:pt idx="4">
                  <c:v>∆rpsU2 + pF-rpsU2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vs 24'!$A$2:$A$5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24'!$F$2:$F$5</c:f>
              <c:numCache>
                <c:formatCode>General</c:formatCode>
                <c:ptCount val="4"/>
                <c:pt idx="0">
                  <c:v>141.57894736842104</c:v>
                </c:pt>
                <c:pt idx="1">
                  <c:v>94.827586206896555</c:v>
                </c:pt>
                <c:pt idx="2">
                  <c:v>48.974358974358978</c:v>
                </c:pt>
                <c:pt idx="3">
                  <c:v>323.67149758454104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7-484E-8C40-012ADBAC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720368"/>
        <c:axId val="196765184"/>
      </c:barChart>
      <c:catAx>
        <c:axId val="2537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65184"/>
        <c:crosses val="autoZero"/>
        <c:auto val="1"/>
        <c:lblAlgn val="ctr"/>
        <c:lblOffset val="100"/>
        <c:noMultiLvlLbl val="0"/>
      </c:catAx>
      <c:valAx>
        <c:axId val="1967651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2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 vs 24'!$J$1</c:f>
              <c:strCache>
                <c:ptCount val="1"/>
                <c:pt idx="0">
                  <c:v>In Vitro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vs 24'!$I$2:$I$5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24'!$J$2:$J$5</c:f>
              <c:numCache>
                <c:formatCode>General</c:formatCode>
                <c:ptCount val="4"/>
                <c:pt idx="0">
                  <c:v>132</c:v>
                </c:pt>
                <c:pt idx="1">
                  <c:v>169</c:v>
                </c:pt>
                <c:pt idx="2" formatCode="0">
                  <c:v>147.83021885842791</c:v>
                </c:pt>
                <c:pt idx="3" formatCode="0">
                  <c:v>147.09615156322471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4-4379-855D-5864969FA46F}"/>
            </c:ext>
          </c:extLst>
        </c:ser>
        <c:ser>
          <c:idx val="0"/>
          <c:order val="1"/>
          <c:tx>
            <c:strRef>
              <c:f>'2 vs 24'!$K$1</c:f>
              <c:strCache>
                <c:ptCount val="1"/>
                <c:pt idx="0">
                  <c:v>In Vivo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vs 24'!$I$2:$I$5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24'!$K$2:$K$5</c:f>
              <c:numCache>
                <c:formatCode>General</c:formatCode>
                <c:ptCount val="4"/>
                <c:pt idx="0">
                  <c:v>181.73376614150897</c:v>
                </c:pt>
                <c:pt idx="1">
                  <c:v>197.73495387258561</c:v>
                </c:pt>
                <c:pt idx="2">
                  <c:v>231.31143019348966</c:v>
                </c:pt>
                <c:pt idx="3">
                  <c:v>155.73419256755096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4-4379-855D-5864969F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192399"/>
        <c:axId val="1440134639"/>
      </c:barChart>
      <c:catAx>
        <c:axId val="15511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134639"/>
        <c:crosses val="autoZero"/>
        <c:auto val="1"/>
        <c:lblAlgn val="ctr"/>
        <c:lblOffset val="100"/>
        <c:noMultiLvlLbl val="0"/>
      </c:catAx>
      <c:valAx>
        <c:axId val="144013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</a:t>
                </a:r>
                <a:r>
                  <a:rPr lang="en-US" baseline="0"/>
                  <a:t> 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19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24'!$F$1</c:f>
              <c:strCache>
                <c:ptCount val="1"/>
                <c:pt idx="0">
                  <c:v>Fold change vs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'2 vs 24'!$G$2:$G$5</c:f>
                <c:numCache>
                  <c:formatCode>General</c:formatCode>
                  <c:ptCount val="4"/>
                  <c:pt idx="0">
                    <c:v>80.710478957731681</c:v>
                  </c:pt>
                  <c:pt idx="1">
                    <c:v>22.781917833001135</c:v>
                  </c:pt>
                  <c:pt idx="2">
                    <c:v>47.909908132395849</c:v>
                  </c:pt>
                  <c:pt idx="3">
                    <c:v>181.01055210616877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24'!$F$2:$F$5</c:f>
              <c:numCache>
                <c:formatCode>General</c:formatCode>
                <c:ptCount val="4"/>
                <c:pt idx="0">
                  <c:v>141.57894736842104</c:v>
                </c:pt>
                <c:pt idx="1">
                  <c:v>94.827586206896555</c:v>
                </c:pt>
                <c:pt idx="2">
                  <c:v>48.974358974358978</c:v>
                </c:pt>
                <c:pt idx="3">
                  <c:v>323.67149758454104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1-4296-98E4-AA76D7960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779712"/>
        <c:axId val="740351408"/>
      </c:barChart>
      <c:catAx>
        <c:axId val="74077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351408"/>
        <c:crosses val="autoZero"/>
        <c:auto val="1"/>
        <c:lblAlgn val="ctr"/>
        <c:lblOffset val="100"/>
        <c:noMultiLvlLbl val="0"/>
      </c:catAx>
      <c:valAx>
        <c:axId val="7403514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77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6</xdr:row>
      <xdr:rowOff>88900</xdr:rowOff>
    </xdr:from>
    <xdr:to>
      <xdr:col>10</xdr:col>
      <xdr:colOff>431800</xdr:colOff>
      <xdr:row>22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5C309-7F2C-4201-8241-6EB3EB23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368300</xdr:colOff>
      <xdr:row>24</xdr:row>
      <xdr:rowOff>73025</xdr:rowOff>
    </xdr:from>
    <xdr:to>
      <xdr:col>12</xdr:col>
      <xdr:colOff>317500</xdr:colOff>
      <xdr:row>38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99B77B-47CF-463B-97DB-E9B7DF61B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361950</xdr:colOff>
      <xdr:row>4</xdr:row>
      <xdr:rowOff>9525</xdr:rowOff>
    </xdr:from>
    <xdr:to>
      <xdr:col>22</xdr:col>
      <xdr:colOff>222250</xdr:colOff>
      <xdr:row>17</xdr:row>
      <xdr:rowOff>193675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C9DC36-05B3-4F67-95A3-ECFDB679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654050</xdr:colOff>
      <xdr:row>6</xdr:row>
      <xdr:rowOff>88900</xdr:rowOff>
    </xdr:from>
    <xdr:to>
      <xdr:col>10</xdr:col>
      <xdr:colOff>374650</xdr:colOff>
      <xdr:row>20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D9B907-609E-44F7-AC7C-3E8231684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L13" zoomScale="125" zoomScaleNormal="125" zoomScalePageLayoutView="125" workbookViewId="0">
      <selection activeCell="R11" sqref="R11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9.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72</v>
      </c>
      <c r="Q1" s="3" t="s">
        <v>73</v>
      </c>
      <c r="R1" s="46" t="s">
        <v>81</v>
      </c>
    </row>
    <row r="2" spans="1:24" x14ac:dyDescent="0.35">
      <c r="A2" s="4" t="s">
        <v>2</v>
      </c>
      <c r="B2" s="9" t="s">
        <v>105</v>
      </c>
      <c r="C2" s="9" t="s">
        <v>105</v>
      </c>
      <c r="D2" s="9" t="s">
        <v>105</v>
      </c>
      <c r="E2" s="6"/>
      <c r="F2" s="43" t="s">
        <v>104</v>
      </c>
      <c r="G2" s="43" t="s">
        <v>104</v>
      </c>
      <c r="H2" s="43" t="s">
        <v>104</v>
      </c>
      <c r="I2" s="5"/>
      <c r="J2" s="6" t="s">
        <v>67</v>
      </c>
      <c r="K2" s="6"/>
      <c r="L2" s="6"/>
      <c r="M2" s="6"/>
      <c r="O2" s="1" t="s">
        <v>92</v>
      </c>
      <c r="P2" s="7">
        <v>20000</v>
      </c>
      <c r="Q2" s="7">
        <v>20000</v>
      </c>
      <c r="R2" t="s">
        <v>95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95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100000</v>
      </c>
      <c r="Q4" s="7">
        <f>Q2/Q3</f>
        <v>100000</v>
      </c>
    </row>
    <row r="5" spans="1:24" ht="31" x14ac:dyDescent="0.35">
      <c r="A5" s="4" t="s">
        <v>8</v>
      </c>
      <c r="B5" s="43" t="s">
        <v>108</v>
      </c>
      <c r="C5" s="43" t="s">
        <v>108</v>
      </c>
      <c r="D5" s="43" t="s">
        <v>108</v>
      </c>
      <c r="E5" s="43"/>
      <c r="F5" s="43" t="s">
        <v>106</v>
      </c>
      <c r="G5" s="43" t="s">
        <v>106</v>
      </c>
      <c r="H5" s="43" t="s">
        <v>106</v>
      </c>
      <c r="I5" s="9"/>
      <c r="J5" s="6" t="s">
        <v>3</v>
      </c>
      <c r="K5" s="6"/>
      <c r="M5" s="1"/>
      <c r="O5" s="1" t="s">
        <v>9</v>
      </c>
      <c r="P5" s="1">
        <v>7</v>
      </c>
      <c r="Q5" s="1">
        <v>7</v>
      </c>
      <c r="R5" t="s">
        <v>95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47">
        <v>920000</v>
      </c>
      <c r="Q6" s="7">
        <v>210000</v>
      </c>
      <c r="R6" t="s">
        <v>111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48">
        <v>0.76100000000000001</v>
      </c>
      <c r="Q7" s="28">
        <v>3.5</v>
      </c>
      <c r="R7" s="14" t="s">
        <v>93</v>
      </c>
    </row>
    <row r="8" spans="1:24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48">
        <f>P5-P7</f>
        <v>6.2389999999999999</v>
      </c>
      <c r="Q8" s="28">
        <f>Q5-Q7</f>
        <v>3.5</v>
      </c>
      <c r="V8" s="14"/>
      <c r="X8" s="14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47">
        <v>116600</v>
      </c>
      <c r="Q9" s="7">
        <v>92500</v>
      </c>
      <c r="R9" t="s">
        <v>94</v>
      </c>
    </row>
    <row r="10" spans="1:24" x14ac:dyDescent="0.35">
      <c r="H10" s="14"/>
      <c r="O10" s="1" t="s">
        <v>18</v>
      </c>
      <c r="P10" s="47">
        <f>P9*0.2</f>
        <v>23320</v>
      </c>
      <c r="Q10" s="7">
        <f>Q9*0.2</f>
        <v>18500</v>
      </c>
    </row>
    <row r="15" spans="1:24" x14ac:dyDescent="0.35">
      <c r="C15" s="15"/>
      <c r="O15" t="s">
        <v>98</v>
      </c>
      <c r="P15" t="s">
        <v>20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72</v>
      </c>
      <c r="Q16" s="3" t="s">
        <v>73</v>
      </c>
      <c r="R16" s="46" t="s">
        <v>81</v>
      </c>
    </row>
    <row r="17" spans="1:18" x14ac:dyDescent="0.35">
      <c r="A17" s="4" t="s">
        <v>2</v>
      </c>
      <c r="B17" s="9" t="s">
        <v>105</v>
      </c>
      <c r="C17" s="9" t="s">
        <v>105</v>
      </c>
      <c r="D17" s="9" t="s">
        <v>105</v>
      </c>
      <c r="E17" s="6"/>
      <c r="F17" s="43" t="s">
        <v>104</v>
      </c>
      <c r="G17" s="43" t="s">
        <v>104</v>
      </c>
      <c r="H17" s="43" t="s">
        <v>104</v>
      </c>
      <c r="I17" s="5"/>
      <c r="J17" s="6" t="s">
        <v>67</v>
      </c>
      <c r="K17" s="6"/>
      <c r="L17" s="6"/>
      <c r="M17" s="6"/>
      <c r="O17" s="1" t="s">
        <v>21</v>
      </c>
      <c r="P17" s="17">
        <v>5</v>
      </c>
      <c r="Q17" s="17">
        <v>5</v>
      </c>
      <c r="R17" t="s">
        <v>95</v>
      </c>
    </row>
    <row r="18" spans="1:18" x14ac:dyDescent="0.35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23320</v>
      </c>
      <c r="Q18" s="18">
        <f>Q10</f>
        <v>18500</v>
      </c>
      <c r="R18" t="s">
        <v>96</v>
      </c>
    </row>
    <row r="19" spans="1:18" x14ac:dyDescent="0.35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  <c r="R19" t="s">
        <v>95</v>
      </c>
    </row>
    <row r="20" spans="1:18" ht="31" x14ac:dyDescent="0.35">
      <c r="A20" s="4" t="s">
        <v>8</v>
      </c>
      <c r="B20" s="43" t="s">
        <v>108</v>
      </c>
      <c r="C20" s="43" t="s">
        <v>108</v>
      </c>
      <c r="D20" s="43" t="s">
        <v>108</v>
      </c>
      <c r="E20" s="43"/>
      <c r="F20" s="43" t="s">
        <v>106</v>
      </c>
      <c r="G20" s="43" t="s">
        <v>106</v>
      </c>
      <c r="H20" s="43" t="s">
        <v>106</v>
      </c>
      <c r="I20" s="9"/>
      <c r="J20" s="6" t="s">
        <v>3</v>
      </c>
      <c r="K20" s="6"/>
      <c r="M20" s="1"/>
      <c r="O20" s="19" t="s">
        <v>24</v>
      </c>
      <c r="P20" s="18">
        <f>(P18*P17/P19)</f>
        <v>2332000</v>
      </c>
      <c r="Q20" s="18">
        <f>(Q18*Q17/Q19)</f>
        <v>1850000</v>
      </c>
    </row>
    <row r="21" spans="1:18" x14ac:dyDescent="0.35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t="s">
        <v>95</v>
      </c>
    </row>
    <row r="22" spans="1:18" x14ac:dyDescent="0.35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4.0137693631669535E-4</v>
      </c>
      <c r="Q22" s="20">
        <f>Q20/Q21</f>
        <v>3.1841652323580036E-4</v>
      </c>
    </row>
    <row r="23" spans="1:18" x14ac:dyDescent="0.35">
      <c r="A23" s="4" t="s">
        <v>14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49">
        <f>P22*100</f>
        <v>4.0137693631669538E-2</v>
      </c>
      <c r="Q23" s="21">
        <v>0.03</v>
      </c>
      <c r="R23" t="s">
        <v>97</v>
      </c>
    </row>
    <row r="24" spans="1:18" x14ac:dyDescent="0.35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61">
        <f>P23/100</f>
        <v>4.013769363166954E-4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105</v>
      </c>
      <c r="P26" t="s">
        <v>0</v>
      </c>
    </row>
    <row r="27" spans="1:18" x14ac:dyDescent="0.35">
      <c r="G27" s="10">
        <v>2</v>
      </c>
      <c r="H27" s="43" t="s">
        <v>104</v>
      </c>
    </row>
    <row r="28" spans="1:18" ht="31" x14ac:dyDescent="0.35">
      <c r="G28" s="10">
        <v>3</v>
      </c>
      <c r="H28" s="43" t="s">
        <v>108</v>
      </c>
    </row>
    <row r="29" spans="1:18" ht="31" x14ac:dyDescent="0.35">
      <c r="G29" s="10">
        <v>4</v>
      </c>
      <c r="H29" s="43" t="s">
        <v>106</v>
      </c>
      <c r="R29" s="14"/>
    </row>
    <row r="30" spans="1:18" x14ac:dyDescent="0.35">
      <c r="H30" s="45"/>
    </row>
  </sheetData>
  <phoneticPr fontId="4" type="noConversion"/>
  <pageMargins left="0.75" right="0.75" top="1" bottom="1" header="0.5" footer="0.5"/>
  <pageSetup scale="7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7" sqref="D17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68" t="s">
        <v>75</v>
      </c>
      <c r="C1" s="68"/>
    </row>
    <row r="2" spans="1:4" x14ac:dyDescent="0.35">
      <c r="A2" s="22" t="s">
        <v>90</v>
      </c>
      <c r="B2" s="23" t="s">
        <v>77</v>
      </c>
      <c r="C2" s="23" t="s">
        <v>78</v>
      </c>
      <c r="D2" s="22" t="s">
        <v>81</v>
      </c>
    </row>
    <row r="3" spans="1:4" x14ac:dyDescent="0.35">
      <c r="A3" s="1" t="s">
        <v>76</v>
      </c>
      <c r="B3" s="17"/>
      <c r="C3" s="37"/>
      <c r="D3" s="1" t="s">
        <v>82</v>
      </c>
    </row>
    <row r="4" spans="1:4" x14ac:dyDescent="0.35">
      <c r="A4" s="1" t="s">
        <v>79</v>
      </c>
      <c r="B4" s="17">
        <v>0</v>
      </c>
      <c r="C4" s="37">
        <v>8</v>
      </c>
      <c r="D4" s="1" t="s">
        <v>83</v>
      </c>
    </row>
    <row r="5" spans="1:4" x14ac:dyDescent="0.35">
      <c r="A5" s="1" t="s">
        <v>80</v>
      </c>
      <c r="B5" s="17">
        <f>3*4*2+2</f>
        <v>26</v>
      </c>
      <c r="C5" s="37">
        <v>0</v>
      </c>
      <c r="D5" s="1" t="s">
        <v>84</v>
      </c>
    </row>
    <row r="6" spans="1:4" x14ac:dyDescent="0.35">
      <c r="A6" s="1" t="s">
        <v>85</v>
      </c>
      <c r="B6">
        <v>2</v>
      </c>
      <c r="C6" s="17">
        <f>3*4*2</f>
        <v>24</v>
      </c>
      <c r="D6" s="19" t="s">
        <v>109</v>
      </c>
    </row>
    <row r="7" spans="1:4" x14ac:dyDescent="0.35">
      <c r="A7" s="22" t="s">
        <v>86</v>
      </c>
      <c r="B7" s="32">
        <f>SUM(B3:B6)</f>
        <v>28</v>
      </c>
      <c r="C7" s="39">
        <f>SUM(C3:C6)</f>
        <v>32</v>
      </c>
      <c r="D7" s="1"/>
    </row>
    <row r="8" spans="1:4" x14ac:dyDescent="0.35">
      <c r="A8" s="1" t="s">
        <v>87</v>
      </c>
      <c r="B8" s="17">
        <f>B7/25</f>
        <v>1.1200000000000001</v>
      </c>
      <c r="C8" s="37">
        <f>C7/20</f>
        <v>1.6</v>
      </c>
      <c r="D8" s="1" t="s">
        <v>89</v>
      </c>
    </row>
    <row r="9" spans="1:4" x14ac:dyDescent="0.35">
      <c r="A9" s="22" t="s">
        <v>88</v>
      </c>
      <c r="B9" s="32">
        <f>SUM(B8:C8)</f>
        <v>2.72</v>
      </c>
      <c r="C9" s="38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C16" sqref="C16"/>
    </sheetView>
  </sheetViews>
  <sheetFormatPr defaultColWidth="8.83203125" defaultRowHeight="15.5" x14ac:dyDescent="0.35"/>
  <cols>
    <col min="2" max="2" width="13.5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ht="31" x14ac:dyDescent="0.35">
      <c r="A2" s="4" t="s">
        <v>2</v>
      </c>
      <c r="B2" s="9" t="s">
        <v>91</v>
      </c>
      <c r="C2" s="9"/>
      <c r="D2" s="9"/>
      <c r="E2" s="6"/>
      <c r="F2" s="9"/>
      <c r="G2" s="9"/>
      <c r="H2" s="9"/>
      <c r="I2" s="5"/>
      <c r="J2" s="6"/>
      <c r="K2" s="6"/>
      <c r="L2" s="6"/>
      <c r="M2" s="6"/>
    </row>
    <row r="3" spans="1:13" x14ac:dyDescent="0.35">
      <c r="A3" s="4" t="s">
        <v>4</v>
      </c>
      <c r="B3" s="42" t="str">
        <f>"1:10 in PBS"</f>
        <v>1:10 in PBS</v>
      </c>
      <c r="C3" s="40"/>
      <c r="D3" s="41"/>
      <c r="E3" s="41"/>
      <c r="F3" s="9"/>
      <c r="G3" s="9"/>
      <c r="H3" s="9"/>
      <c r="I3" s="9"/>
      <c r="J3" s="9"/>
      <c r="K3" s="9"/>
      <c r="L3" s="10"/>
      <c r="M3" s="1"/>
    </row>
    <row r="4" spans="1:13" x14ac:dyDescent="0.35">
      <c r="A4" s="4" t="s">
        <v>6</v>
      </c>
      <c r="B4" s="42" t="str">
        <f>"1:100 in PBS"</f>
        <v>1:100 in PBS</v>
      </c>
      <c r="C4" s="42"/>
      <c r="D4" s="42"/>
      <c r="E4" s="41"/>
      <c r="F4" s="6"/>
      <c r="G4" s="6"/>
      <c r="H4" s="6"/>
      <c r="I4" s="9"/>
      <c r="J4" s="6"/>
      <c r="K4" s="6"/>
      <c r="L4" s="6"/>
      <c r="M4" s="1"/>
    </row>
    <row r="5" spans="1:13" x14ac:dyDescent="0.35">
      <c r="A5" s="4" t="s">
        <v>8</v>
      </c>
      <c r="B5" s="41" t="str">
        <f>"1:1000 in PBS"</f>
        <v>1:1000 in PBS</v>
      </c>
      <c r="C5" s="41"/>
      <c r="D5" s="41"/>
      <c r="E5" s="41"/>
      <c r="F5" s="6"/>
      <c r="G5" s="6"/>
      <c r="H5" s="6"/>
      <c r="I5" s="9"/>
      <c r="J5" s="6"/>
      <c r="K5" s="6"/>
      <c r="M5" s="1"/>
    </row>
    <row r="6" spans="1:13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topLeftCell="A10" workbookViewId="0">
      <selection activeCell="A13" sqref="A13:C17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23"/>
      <c r="C1" s="73"/>
      <c r="D1" s="73"/>
      <c r="E1" s="73"/>
      <c r="F1" s="73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46</v>
      </c>
      <c r="L2" s="26" t="s">
        <v>99</v>
      </c>
      <c r="M2" s="16" t="s">
        <v>74</v>
      </c>
    </row>
    <row r="3" spans="1:13" x14ac:dyDescent="0.35">
      <c r="A3" s="71" t="s">
        <v>105</v>
      </c>
      <c r="B3" s="27" t="s">
        <v>36</v>
      </c>
      <c r="C3" s="17"/>
      <c r="D3" s="17"/>
      <c r="E3" s="17"/>
      <c r="F3" s="17">
        <v>38</v>
      </c>
      <c r="G3" s="53">
        <v>1E-3</v>
      </c>
      <c r="H3" s="54">
        <f>F3/(G3*0.01)</f>
        <v>3799999.9999999995</v>
      </c>
      <c r="I3" s="7">
        <f>AVERAGE(H3:H4)</f>
        <v>3799999.9999999995</v>
      </c>
      <c r="J3" s="7" t="e">
        <f>STDEV(H3:H4)</f>
        <v>#DIV/0!</v>
      </c>
      <c r="K3" s="7">
        <f>I3*0.05</f>
        <v>190000</v>
      </c>
      <c r="L3" s="7" t="e">
        <f>J3*0.05</f>
        <v>#DIV/0!</v>
      </c>
      <c r="M3" s="51">
        <f>K3/16200</f>
        <v>11.728395061728396</v>
      </c>
    </row>
    <row r="4" spans="1:13" x14ac:dyDescent="0.35">
      <c r="A4" s="72"/>
      <c r="B4" s="27" t="s">
        <v>38</v>
      </c>
      <c r="C4" s="17"/>
      <c r="D4" s="17"/>
      <c r="E4" s="17"/>
      <c r="F4" s="17"/>
      <c r="G4" s="53">
        <v>1E-3</v>
      </c>
      <c r="H4" s="54"/>
      <c r="I4" s="29"/>
      <c r="J4" s="29"/>
      <c r="K4" s="7"/>
      <c r="L4" s="7"/>
      <c r="M4" s="51"/>
    </row>
    <row r="5" spans="1:13" x14ac:dyDescent="0.35">
      <c r="A5" s="69" t="s">
        <v>104</v>
      </c>
      <c r="B5" s="27" t="s">
        <v>39</v>
      </c>
      <c r="C5" s="17"/>
      <c r="D5" s="17"/>
      <c r="E5" s="17"/>
      <c r="F5" s="17">
        <v>26</v>
      </c>
      <c r="G5" s="53">
        <v>1E-3</v>
      </c>
      <c r="H5" s="54">
        <f t="shared" ref="H5:H10" si="0">F5/(G5*0.01)</f>
        <v>2600000</v>
      </c>
      <c r="I5" s="7">
        <f>AVERAGE(H5:H6)</f>
        <v>2750000</v>
      </c>
      <c r="J5" s="7">
        <f>STDEV(H5:H6)</f>
        <v>212132.03435596393</v>
      </c>
      <c r="K5" s="7">
        <f>I5*0.05</f>
        <v>137500</v>
      </c>
      <c r="L5" s="7">
        <f>J5*0.05</f>
        <v>10606.601717798198</v>
      </c>
      <c r="M5" s="51">
        <f t="shared" ref="M5:M9" si="1">K5/16200</f>
        <v>8.4876543209876552</v>
      </c>
    </row>
    <row r="6" spans="1:13" x14ac:dyDescent="0.35">
      <c r="A6" s="70"/>
      <c r="B6" s="27" t="s">
        <v>40</v>
      </c>
      <c r="C6" s="17"/>
      <c r="D6" s="17"/>
      <c r="E6" s="17"/>
      <c r="F6" s="17">
        <v>29</v>
      </c>
      <c r="G6" s="53">
        <v>1E-3</v>
      </c>
      <c r="H6" s="54">
        <f t="shared" si="0"/>
        <v>2899999.9999999995</v>
      </c>
      <c r="I6" s="29"/>
      <c r="J6" s="29"/>
      <c r="K6" s="7"/>
      <c r="L6" s="7"/>
      <c r="M6" s="51"/>
    </row>
    <row r="7" spans="1:13" x14ac:dyDescent="0.35">
      <c r="A7" s="69" t="s">
        <v>108</v>
      </c>
      <c r="B7" s="27" t="s">
        <v>41</v>
      </c>
      <c r="C7" s="17"/>
      <c r="D7" s="17"/>
      <c r="E7" s="17"/>
      <c r="F7" s="17">
        <v>37</v>
      </c>
      <c r="G7" s="53">
        <v>1E-3</v>
      </c>
      <c r="H7" s="54">
        <f t="shared" si="0"/>
        <v>3699999.9999999995</v>
      </c>
      <c r="I7" s="7">
        <f>AVERAGE(H7:H8)</f>
        <v>3499999.9999999995</v>
      </c>
      <c r="J7" s="7">
        <f>STDEV(H7:H8)</f>
        <v>282842.71247461904</v>
      </c>
      <c r="K7" s="7">
        <f>I7*0.05</f>
        <v>175000</v>
      </c>
      <c r="L7" s="7">
        <f>J7*0.05</f>
        <v>14142.135623730952</v>
      </c>
      <c r="M7" s="51">
        <f t="shared" si="1"/>
        <v>10.802469135802468</v>
      </c>
    </row>
    <row r="8" spans="1:13" x14ac:dyDescent="0.35">
      <c r="A8" s="70"/>
      <c r="B8" s="27" t="s">
        <v>42</v>
      </c>
      <c r="C8" s="17"/>
      <c r="D8" s="17"/>
      <c r="E8" s="17"/>
      <c r="F8" s="17">
        <v>33</v>
      </c>
      <c r="G8" s="53">
        <v>1E-3</v>
      </c>
      <c r="H8" s="54">
        <f t="shared" si="0"/>
        <v>3299999.9999999995</v>
      </c>
      <c r="I8" s="29"/>
      <c r="J8" s="29"/>
      <c r="K8" s="7"/>
      <c r="L8" s="7"/>
      <c r="M8" s="51"/>
    </row>
    <row r="9" spans="1:13" ht="16" customHeight="1" x14ac:dyDescent="0.35">
      <c r="A9" s="71" t="s">
        <v>106</v>
      </c>
      <c r="B9" s="27" t="s">
        <v>43</v>
      </c>
      <c r="C9" s="17"/>
      <c r="D9" s="17"/>
      <c r="E9" s="17"/>
      <c r="F9" s="17">
        <v>26</v>
      </c>
      <c r="G9" s="53">
        <v>1E-3</v>
      </c>
      <c r="H9" s="54">
        <f t="shared" si="0"/>
        <v>2600000</v>
      </c>
      <c r="I9" s="7">
        <f>AVERAGE(H9:H10)</f>
        <v>3250000</v>
      </c>
      <c r="J9" s="7">
        <f>STDEV(H9:H10)</f>
        <v>919238.81554250966</v>
      </c>
      <c r="K9" s="7">
        <f>I9*0.05</f>
        <v>162500</v>
      </c>
      <c r="L9" s="7">
        <f>J9*0.05</f>
        <v>45961.940777125485</v>
      </c>
      <c r="M9" s="51">
        <f t="shared" si="1"/>
        <v>10.030864197530864</v>
      </c>
    </row>
    <row r="10" spans="1:13" x14ac:dyDescent="0.35">
      <c r="A10" s="72"/>
      <c r="B10" s="27" t="s">
        <v>44</v>
      </c>
      <c r="C10" s="17"/>
      <c r="D10" s="17"/>
      <c r="E10" s="17"/>
      <c r="F10" s="17">
        <v>39</v>
      </c>
      <c r="G10" s="53">
        <v>1E-3</v>
      </c>
      <c r="H10" s="54">
        <f t="shared" si="0"/>
        <v>3899999.9999999995</v>
      </c>
      <c r="I10" s="29"/>
      <c r="J10" s="29"/>
      <c r="K10" s="7"/>
      <c r="L10" s="7"/>
      <c r="M10" s="28"/>
    </row>
    <row r="11" spans="1:13" x14ac:dyDescent="0.35">
      <c r="A11" s="1" t="s">
        <v>45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46</v>
      </c>
      <c r="C13" s="1" t="s">
        <v>34</v>
      </c>
      <c r="L13" s="9"/>
    </row>
    <row r="14" spans="1:13" x14ac:dyDescent="0.35">
      <c r="A14" s="9" t="s">
        <v>105</v>
      </c>
      <c r="B14" s="7">
        <f>K3</f>
        <v>190000</v>
      </c>
      <c r="C14" s="7" t="e">
        <f>L3</f>
        <v>#DIV/0!</v>
      </c>
      <c r="L14" s="43"/>
    </row>
    <row r="15" spans="1:13" x14ac:dyDescent="0.35">
      <c r="A15" s="43" t="s">
        <v>104</v>
      </c>
      <c r="B15" s="7">
        <f>K5</f>
        <v>137500</v>
      </c>
      <c r="C15" s="7">
        <f>L5</f>
        <v>10606.601717798198</v>
      </c>
      <c r="L15" s="43"/>
    </row>
    <row r="16" spans="1:13" x14ac:dyDescent="0.35">
      <c r="A16" s="43" t="s">
        <v>108</v>
      </c>
      <c r="B16" s="7">
        <f>K7</f>
        <v>175000</v>
      </c>
      <c r="C16" s="7">
        <f>L7</f>
        <v>14142.135623730952</v>
      </c>
      <c r="L16" s="44"/>
    </row>
    <row r="17" spans="1:3" x14ac:dyDescent="0.35">
      <c r="A17" s="43" t="s">
        <v>106</v>
      </c>
      <c r="B17" s="7">
        <f>K9</f>
        <v>162500</v>
      </c>
      <c r="C17" s="7">
        <f>L9</f>
        <v>45961.940777125485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workbookViewId="0">
      <selection activeCell="G3" sqref="G3:G14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4" t="s">
        <v>47</v>
      </c>
      <c r="C2" s="34" t="s">
        <v>48</v>
      </c>
      <c r="D2" s="34" t="s">
        <v>49</v>
      </c>
      <c r="E2" s="16" t="s">
        <v>31</v>
      </c>
      <c r="F2" s="16" t="s">
        <v>50</v>
      </c>
      <c r="G2" s="16" t="s">
        <v>35</v>
      </c>
      <c r="H2" s="16" t="s">
        <v>59</v>
      </c>
      <c r="J2" s="1"/>
      <c r="K2" s="26" t="s">
        <v>51</v>
      </c>
      <c r="L2" s="22" t="s">
        <v>52</v>
      </c>
      <c r="M2" s="55" t="s">
        <v>53</v>
      </c>
      <c r="N2" s="34" t="s">
        <v>59</v>
      </c>
      <c r="O2" s="16" t="s">
        <v>60</v>
      </c>
    </row>
    <row r="3" spans="1:25" x14ac:dyDescent="0.35">
      <c r="A3" s="74" t="s">
        <v>105</v>
      </c>
      <c r="B3" s="10" t="s">
        <v>36</v>
      </c>
      <c r="C3" s="59">
        <v>23</v>
      </c>
      <c r="D3" s="59">
        <v>34</v>
      </c>
      <c r="E3" s="17">
        <v>1</v>
      </c>
      <c r="F3" s="29">
        <f t="shared" ref="F3:F14" si="0">AVERAGE(C3,D3)</f>
        <v>28.5</v>
      </c>
      <c r="G3" s="7">
        <f t="shared" ref="G3:G12" si="1">(F3/(0.05*E3))*0.2</f>
        <v>114</v>
      </c>
      <c r="H3" s="76">
        <f>TTEST(G3:G5,G3:G5,2,2)</f>
        <v>1</v>
      </c>
      <c r="I3" s="14"/>
      <c r="J3" s="9" t="s">
        <v>105</v>
      </c>
      <c r="K3" s="7">
        <f>AVERAGE(G3:G5)</f>
        <v>126.66666666666667</v>
      </c>
      <c r="L3" s="7">
        <f>STDEV(G3:G5)</f>
        <v>38.591881702416792</v>
      </c>
      <c r="M3" s="51">
        <v>11.728395061728396</v>
      </c>
      <c r="N3" s="21"/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74"/>
      <c r="B4" s="10" t="s">
        <v>38</v>
      </c>
      <c r="C4" s="59">
        <v>46</v>
      </c>
      <c r="D4" s="59">
        <v>39</v>
      </c>
      <c r="E4" s="17">
        <v>1</v>
      </c>
      <c r="F4" s="29">
        <f t="shared" si="0"/>
        <v>42.5</v>
      </c>
      <c r="G4" s="7">
        <f t="shared" si="1"/>
        <v>170</v>
      </c>
      <c r="H4" s="76"/>
      <c r="J4" s="43" t="s">
        <v>104</v>
      </c>
      <c r="K4" s="7">
        <f>AVERAGE(G6:G8)</f>
        <v>58</v>
      </c>
      <c r="L4" s="7">
        <f>STDEV(G6:G8)</f>
        <v>2</v>
      </c>
      <c r="M4" s="51">
        <v>8.4876543209876552</v>
      </c>
      <c r="N4" s="21">
        <f>TTEST(G3:G5,G6:G8,2,2)</f>
        <v>3.7013855271397632E-2</v>
      </c>
      <c r="O4" s="13">
        <f>IF(K4/$K$3&gt;=1,K4/$K$3,-$K$3/K4)</f>
        <v>-2.1839080459770117</v>
      </c>
    </row>
    <row r="5" spans="1:25" x14ac:dyDescent="0.35">
      <c r="A5" s="74"/>
      <c r="B5" s="10" t="s">
        <v>61</v>
      </c>
      <c r="C5" s="59">
        <v>30</v>
      </c>
      <c r="D5" s="59">
        <v>18</v>
      </c>
      <c r="E5" s="17">
        <v>1</v>
      </c>
      <c r="F5" s="29">
        <f t="shared" si="0"/>
        <v>24</v>
      </c>
      <c r="G5" s="7">
        <f t="shared" si="1"/>
        <v>96</v>
      </c>
      <c r="H5" s="76"/>
      <c r="J5" s="43" t="s">
        <v>108</v>
      </c>
      <c r="K5" s="7">
        <f>AVERAGE(G10:G11)</f>
        <v>130</v>
      </c>
      <c r="L5" s="7">
        <f>STDEV(G10:G11)</f>
        <v>104.65180361560904</v>
      </c>
      <c r="M5" s="51">
        <v>10.802469135802468</v>
      </c>
      <c r="N5" s="21">
        <f>TTEST(G3:G5,G9:G11,2,2)</f>
        <v>0.68494832702633779</v>
      </c>
      <c r="O5" s="13">
        <f>IF(K5/$K$3&gt;=1,K5/$K$3,-$K$3/K5)</f>
        <v>1.0263157894736841</v>
      </c>
    </row>
    <row r="6" spans="1:25" ht="15" customHeight="1" x14ac:dyDescent="0.35">
      <c r="A6" s="75" t="s">
        <v>104</v>
      </c>
      <c r="B6" s="10" t="s">
        <v>39</v>
      </c>
      <c r="C6" s="59">
        <v>14</v>
      </c>
      <c r="D6" s="59">
        <v>15</v>
      </c>
      <c r="E6" s="17">
        <v>1</v>
      </c>
      <c r="F6" s="1">
        <f t="shared" si="0"/>
        <v>14.5</v>
      </c>
      <c r="G6" s="7">
        <f t="shared" si="1"/>
        <v>58</v>
      </c>
      <c r="H6" s="76">
        <f>TTEST(G6:G8,G3:G5,2,2)</f>
        <v>3.7013855271397632E-2</v>
      </c>
      <c r="J6" s="43" t="s">
        <v>106</v>
      </c>
      <c r="K6" s="7">
        <f>AVERAGE(G12:G14)</f>
        <v>64</v>
      </c>
      <c r="L6" s="7">
        <f>STDEV(G12:G13)</f>
        <v>18.384776310850235</v>
      </c>
      <c r="M6" s="51">
        <v>10.030864197530864</v>
      </c>
      <c r="N6" s="21">
        <f>TTEST(G3:G5,G12:G14,2,2)</f>
        <v>5.9601936851139667E-2</v>
      </c>
      <c r="O6" s="13">
        <f>IF(K6/$K$3&gt;=1,K6/$K$3,-$K$3/K6)</f>
        <v>-1.9791666666666667</v>
      </c>
    </row>
    <row r="7" spans="1:25" ht="15" customHeight="1" x14ac:dyDescent="0.35">
      <c r="A7" s="75"/>
      <c r="B7" s="10" t="s">
        <v>40</v>
      </c>
      <c r="C7" s="59">
        <v>14</v>
      </c>
      <c r="D7" s="59">
        <v>16</v>
      </c>
      <c r="E7" s="17">
        <v>1</v>
      </c>
      <c r="F7" s="1">
        <f t="shared" si="0"/>
        <v>15</v>
      </c>
      <c r="G7" s="7">
        <f t="shared" si="1"/>
        <v>60</v>
      </c>
      <c r="H7" s="76"/>
    </row>
    <row r="8" spans="1:25" x14ac:dyDescent="0.35">
      <c r="A8" s="75"/>
      <c r="B8" s="10" t="s">
        <v>64</v>
      </c>
      <c r="C8" s="59">
        <v>11</v>
      </c>
      <c r="D8" s="59">
        <v>17</v>
      </c>
      <c r="E8" s="17">
        <v>1</v>
      </c>
      <c r="F8" s="1">
        <f t="shared" si="0"/>
        <v>14</v>
      </c>
      <c r="G8" s="7">
        <f t="shared" si="1"/>
        <v>56</v>
      </c>
      <c r="H8" s="76"/>
    </row>
    <row r="9" spans="1:25" ht="15" customHeight="1" x14ac:dyDescent="0.35">
      <c r="A9" s="75" t="s">
        <v>108</v>
      </c>
      <c r="B9" s="10" t="s">
        <v>41</v>
      </c>
      <c r="C9" s="59">
        <v>61</v>
      </c>
      <c r="D9" s="59">
        <v>33</v>
      </c>
      <c r="E9" s="17">
        <v>1</v>
      </c>
      <c r="F9" s="1">
        <f t="shared" si="0"/>
        <v>47</v>
      </c>
      <c r="G9" s="7">
        <f t="shared" si="1"/>
        <v>188</v>
      </c>
      <c r="H9" s="76">
        <f>TTEST(G9:G11,G3:G5,2,2)</f>
        <v>0.68494832702633779</v>
      </c>
      <c r="J9" s="14"/>
    </row>
    <row r="10" spans="1:25" x14ac:dyDescent="0.35">
      <c r="A10" s="75"/>
      <c r="B10" s="10" t="s">
        <v>42</v>
      </c>
      <c r="C10" s="59">
        <v>50</v>
      </c>
      <c r="D10" s="59">
        <v>52</v>
      </c>
      <c r="E10" s="17">
        <v>1</v>
      </c>
      <c r="F10" s="1">
        <f t="shared" si="0"/>
        <v>51</v>
      </c>
      <c r="G10" s="7">
        <f t="shared" si="1"/>
        <v>204</v>
      </c>
      <c r="H10" s="76"/>
    </row>
    <row r="11" spans="1:25" ht="15" customHeight="1" x14ac:dyDescent="0.35">
      <c r="A11" s="75"/>
      <c r="B11" s="10" t="s">
        <v>62</v>
      </c>
      <c r="C11" s="59">
        <v>16</v>
      </c>
      <c r="D11" s="59">
        <v>12</v>
      </c>
      <c r="E11" s="17">
        <v>1</v>
      </c>
      <c r="F11" s="1">
        <f t="shared" si="0"/>
        <v>14</v>
      </c>
      <c r="G11" s="7">
        <f t="shared" si="1"/>
        <v>56</v>
      </c>
      <c r="H11" s="76"/>
    </row>
    <row r="12" spans="1:25" x14ac:dyDescent="0.35">
      <c r="A12" s="75" t="s">
        <v>106</v>
      </c>
      <c r="B12" s="10" t="s">
        <v>43</v>
      </c>
      <c r="C12" s="59">
        <v>22</v>
      </c>
      <c r="D12" s="59">
        <v>19</v>
      </c>
      <c r="E12" s="17">
        <v>1</v>
      </c>
      <c r="F12" s="1">
        <f t="shared" si="0"/>
        <v>20.5</v>
      </c>
      <c r="G12" s="7">
        <f t="shared" si="1"/>
        <v>82</v>
      </c>
      <c r="H12" s="76">
        <f>TTEST(G12:G13,G3:G5,2,2)</f>
        <v>0.15365036789515404</v>
      </c>
    </row>
    <row r="13" spans="1:25" ht="15" customHeight="1" x14ac:dyDescent="0.35">
      <c r="A13" s="75"/>
      <c r="B13" s="10" t="s">
        <v>44</v>
      </c>
      <c r="C13" s="59">
        <v>17</v>
      </c>
      <c r="D13" s="59">
        <v>11</v>
      </c>
      <c r="E13" s="17">
        <v>1</v>
      </c>
      <c r="F13" s="1">
        <f t="shared" si="0"/>
        <v>14</v>
      </c>
      <c r="G13" s="7">
        <f>(F13/(0.05*E13))*0.2</f>
        <v>56</v>
      </c>
      <c r="H13" s="76"/>
    </row>
    <row r="14" spans="1:25" x14ac:dyDescent="0.35">
      <c r="A14" s="75"/>
      <c r="B14" s="10" t="s">
        <v>63</v>
      </c>
      <c r="C14" s="59">
        <v>17</v>
      </c>
      <c r="D14" s="59">
        <v>10</v>
      </c>
      <c r="E14" s="17">
        <v>1</v>
      </c>
      <c r="F14" s="1">
        <f t="shared" si="0"/>
        <v>13.5</v>
      </c>
      <c r="G14" s="7">
        <f>(F14/(0.05*E14))*0.2</f>
        <v>54</v>
      </c>
      <c r="H14" s="76"/>
    </row>
    <row r="15" spans="1:25" x14ac:dyDescent="0.35">
      <c r="A15" s="33" t="s">
        <v>70</v>
      </c>
      <c r="B15" s="10"/>
      <c r="C15" s="62"/>
      <c r="D15" s="62">
        <v>0</v>
      </c>
      <c r="E15" s="17">
        <v>1</v>
      </c>
      <c r="F15" s="1" t="s">
        <v>37</v>
      </c>
      <c r="G15" s="7" t="s">
        <v>37</v>
      </c>
    </row>
    <row r="16" spans="1:25" x14ac:dyDescent="0.35">
      <c r="A16" s="33" t="s">
        <v>71</v>
      </c>
      <c r="B16" s="10"/>
      <c r="C16" s="17"/>
      <c r="D16" s="17">
        <v>0</v>
      </c>
      <c r="E16" s="17">
        <v>1</v>
      </c>
      <c r="F16" s="1" t="s">
        <v>37</v>
      </c>
      <c r="G16" s="7" t="s">
        <v>37</v>
      </c>
      <c r="H16" s="14"/>
    </row>
    <row r="17" spans="1:8" x14ac:dyDescent="0.35">
      <c r="A17" s="36" t="s">
        <v>54</v>
      </c>
      <c r="H17" s="14"/>
    </row>
    <row r="18" spans="1:8" x14ac:dyDescent="0.35">
      <c r="A18" s="36" t="s">
        <v>55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showRuler="0" topLeftCell="F2" workbookViewId="0">
      <selection activeCell="M3" sqref="M3:M14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68" t="s">
        <v>56</v>
      </c>
      <c r="D1" s="68"/>
      <c r="E1" s="68"/>
      <c r="F1" s="58"/>
      <c r="G1" s="68" t="s">
        <v>57</v>
      </c>
      <c r="H1" s="68"/>
      <c r="I1" s="68"/>
      <c r="J1" s="23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5" t="s">
        <v>31</v>
      </c>
      <c r="L2" s="55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5" t="s">
        <v>53</v>
      </c>
      <c r="S2" s="16" t="s">
        <v>69</v>
      </c>
      <c r="T2" s="16" t="s">
        <v>60</v>
      </c>
    </row>
    <row r="3" spans="1:22" x14ac:dyDescent="0.35">
      <c r="A3" s="74" t="s">
        <v>105</v>
      </c>
      <c r="B3" s="10" t="s">
        <v>36</v>
      </c>
      <c r="C3" s="17"/>
      <c r="D3" s="17"/>
      <c r="E3" s="32">
        <v>12</v>
      </c>
      <c r="F3" s="32"/>
      <c r="G3" s="17"/>
      <c r="H3" s="17"/>
      <c r="I3" s="32">
        <v>13</v>
      </c>
      <c r="J3" s="32"/>
      <c r="K3" s="53">
        <v>0.01</v>
      </c>
      <c r="L3" s="52">
        <f>AVERAGE(E3,I3)</f>
        <v>12.5</v>
      </c>
      <c r="M3" s="7">
        <f t="shared" ref="M3:M8" si="0">(L3/(0.01*K3))*0.2</f>
        <v>25000</v>
      </c>
      <c r="N3" s="14"/>
      <c r="O3" s="9" t="s">
        <v>105</v>
      </c>
      <c r="P3" s="7">
        <f>AVERAGE(M3:M5)</f>
        <v>17933.333333333332</v>
      </c>
      <c r="Q3" s="7">
        <f>STDEV(M3:M5)</f>
        <v>8640.7947165369751</v>
      </c>
      <c r="R3" s="51">
        <v>11.728395061728396</v>
      </c>
      <c r="S3" s="1"/>
      <c r="T3" s="13">
        <f>IF(P3/$P$3&gt;=1,P3/$P$3,-$P$3/P3)</f>
        <v>1</v>
      </c>
      <c r="V3" t="s">
        <v>100</v>
      </c>
    </row>
    <row r="4" spans="1:22" x14ac:dyDescent="0.35">
      <c r="A4" s="74"/>
      <c r="B4" s="10" t="s">
        <v>38</v>
      </c>
      <c r="C4" s="17"/>
      <c r="D4" s="17">
        <v>42</v>
      </c>
      <c r="E4" s="32"/>
      <c r="F4" s="32"/>
      <c r="G4" s="17"/>
      <c r="H4" s="17">
        <v>41</v>
      </c>
      <c r="I4" s="32"/>
      <c r="J4" s="32"/>
      <c r="K4" s="53">
        <v>0.1</v>
      </c>
      <c r="L4" s="52">
        <f>AVERAGE(D4,H4)</f>
        <v>41.5</v>
      </c>
      <c r="M4" s="7">
        <f t="shared" si="0"/>
        <v>8300</v>
      </c>
      <c r="N4" s="14"/>
      <c r="O4" s="43" t="s">
        <v>104</v>
      </c>
      <c r="P4" s="7">
        <f>AVERAGE(M6:M8)</f>
        <v>5500</v>
      </c>
      <c r="Q4" s="7">
        <f>STDEV(M6:M8)</f>
        <v>1307.669683062202</v>
      </c>
      <c r="R4" s="51">
        <v>8.4876543209876552</v>
      </c>
      <c r="S4" s="21">
        <f>TTEST(M3:M5,M6:M8,2,2)</f>
        <v>6.9376976815958558E-2</v>
      </c>
      <c r="T4" s="13">
        <f>IF(P4/$P$3&gt;=1,P4/$P$3,-$P$3/P4)</f>
        <v>-3.2606060606060603</v>
      </c>
      <c r="V4" t="s">
        <v>101</v>
      </c>
    </row>
    <row r="5" spans="1:22" x14ac:dyDescent="0.35">
      <c r="A5" s="74"/>
      <c r="B5" s="10" t="s">
        <v>61</v>
      </c>
      <c r="C5" s="53"/>
      <c r="D5" s="53">
        <v>98</v>
      </c>
      <c r="E5" s="56"/>
      <c r="F5" s="56"/>
      <c r="G5" s="53"/>
      <c r="H5" s="53">
        <v>107</v>
      </c>
      <c r="I5" s="56"/>
      <c r="J5" s="56"/>
      <c r="K5" s="53">
        <v>0.1</v>
      </c>
      <c r="L5" s="52">
        <f>AVERAGE(D5,H5)</f>
        <v>102.5</v>
      </c>
      <c r="M5" s="7">
        <f t="shared" si="0"/>
        <v>20500</v>
      </c>
      <c r="N5" s="14"/>
      <c r="O5" s="43" t="s">
        <v>108</v>
      </c>
      <c r="P5" s="7">
        <f>AVERAGE(M9:M11)</f>
        <v>6366.666666666667</v>
      </c>
      <c r="Q5" s="7">
        <f>STDEV(M9:M11)</f>
        <v>3538.832199092426</v>
      </c>
      <c r="R5" s="51">
        <v>10.802469135802468</v>
      </c>
      <c r="S5" s="21">
        <f>TTEST(M3:M5,M9:M11,2,2)</f>
        <v>9.846934109028084E-2</v>
      </c>
      <c r="T5" s="13">
        <f>IF(P5/$P$3&gt;=1,P5/$P$3,-$P$3/P5)</f>
        <v>-2.8167539267015704</v>
      </c>
    </row>
    <row r="6" spans="1:22" x14ac:dyDescent="0.35">
      <c r="A6" s="75" t="s">
        <v>104</v>
      </c>
      <c r="B6" s="10" t="s">
        <v>39</v>
      </c>
      <c r="C6" s="53"/>
      <c r="D6" s="53">
        <v>17</v>
      </c>
      <c r="E6" s="56"/>
      <c r="F6" s="56"/>
      <c r="G6" s="53"/>
      <c r="H6" s="53">
        <v>32</v>
      </c>
      <c r="I6" s="56"/>
      <c r="J6" s="56"/>
      <c r="K6" s="53">
        <v>0.1</v>
      </c>
      <c r="L6" s="52">
        <f>AVERAGE(D6,H6)</f>
        <v>24.5</v>
      </c>
      <c r="M6" s="7">
        <f t="shared" si="0"/>
        <v>4900</v>
      </c>
      <c r="N6" s="14"/>
      <c r="O6" s="43" t="s">
        <v>106</v>
      </c>
      <c r="P6" s="7">
        <f>AVERAGE(M12:M14)</f>
        <v>22333.333333333332</v>
      </c>
      <c r="Q6" s="7">
        <f>STDEV(M12:M14)</f>
        <v>10981.044273352756</v>
      </c>
      <c r="R6" s="51">
        <v>10.030864197530864</v>
      </c>
      <c r="S6" s="21">
        <f>TTEST(M3:M5,M12:M14,2,2)</f>
        <v>0.61446099022550738</v>
      </c>
      <c r="T6" s="13">
        <f>IF(P6/$P$3&gt;=1,P6/$P$3,-$P$3/P6)</f>
        <v>1.2453531598513012</v>
      </c>
      <c r="V6" s="14"/>
    </row>
    <row r="7" spans="1:22" ht="15" customHeight="1" x14ac:dyDescent="0.35">
      <c r="A7" s="75"/>
      <c r="B7" s="10" t="s">
        <v>40</v>
      </c>
      <c r="C7" s="53"/>
      <c r="D7" s="53">
        <v>16</v>
      </c>
      <c r="E7" s="56"/>
      <c r="F7" s="56"/>
      <c r="G7" s="53"/>
      <c r="H7" s="53">
        <v>30</v>
      </c>
      <c r="I7" s="56"/>
      <c r="J7" s="56"/>
      <c r="K7" s="53">
        <v>0.1</v>
      </c>
      <c r="L7" s="52">
        <f t="shared" ref="L7:L8" si="1">AVERAGE(D7,H7)</f>
        <v>23</v>
      </c>
      <c r="M7" s="7">
        <f t="shared" si="0"/>
        <v>4600</v>
      </c>
      <c r="N7" s="14"/>
    </row>
    <row r="8" spans="1:22" ht="15" customHeight="1" x14ac:dyDescent="0.35">
      <c r="A8" s="75"/>
      <c r="B8" s="10" t="s">
        <v>64</v>
      </c>
      <c r="C8" s="53"/>
      <c r="D8" s="53">
        <v>40</v>
      </c>
      <c r="E8" s="56"/>
      <c r="F8" s="56"/>
      <c r="G8" s="53"/>
      <c r="H8" s="53">
        <v>30</v>
      </c>
      <c r="I8" s="56"/>
      <c r="J8" s="56"/>
      <c r="K8" s="53">
        <v>0.1</v>
      </c>
      <c r="L8" s="52">
        <f t="shared" si="1"/>
        <v>35</v>
      </c>
      <c r="M8" s="7">
        <f t="shared" si="0"/>
        <v>7000</v>
      </c>
      <c r="N8" s="14"/>
    </row>
    <row r="9" spans="1:22" ht="15" customHeight="1" x14ac:dyDescent="0.35">
      <c r="A9" s="75" t="s">
        <v>108</v>
      </c>
      <c r="B9" s="10" t="s">
        <v>41</v>
      </c>
      <c r="C9" s="59"/>
      <c r="D9" s="59">
        <v>17</v>
      </c>
      <c r="E9" s="59"/>
      <c r="F9" s="59"/>
      <c r="G9" s="57"/>
      <c r="H9" s="59">
        <v>7</v>
      </c>
      <c r="I9" s="59"/>
      <c r="J9" s="59"/>
      <c r="K9" s="53">
        <v>0.1</v>
      </c>
      <c r="L9" s="50">
        <f>AVERAGE(D9,H9)</f>
        <v>12</v>
      </c>
      <c r="M9" s="7">
        <f t="shared" ref="M9:M11" si="2">(L9/(0.01*K9))*0.2</f>
        <v>2400</v>
      </c>
      <c r="N9" s="14"/>
    </row>
    <row r="10" spans="1:22" x14ac:dyDescent="0.35">
      <c r="A10" s="75"/>
      <c r="B10" s="10" t="s">
        <v>42</v>
      </c>
      <c r="C10" s="59"/>
      <c r="D10" s="59">
        <v>35</v>
      </c>
      <c r="E10" s="59"/>
      <c r="F10" s="59"/>
      <c r="G10" s="59"/>
      <c r="H10" s="59">
        <v>40</v>
      </c>
      <c r="I10" s="59"/>
      <c r="J10" s="59"/>
      <c r="K10" s="53">
        <v>0.1</v>
      </c>
      <c r="L10" s="50">
        <f>AVERAGE(D10,H10)</f>
        <v>37.5</v>
      </c>
      <c r="M10" s="7">
        <f t="shared" si="2"/>
        <v>7500</v>
      </c>
      <c r="N10" s="14"/>
    </row>
    <row r="11" spans="1:22" ht="15" customHeight="1" x14ac:dyDescent="0.35">
      <c r="A11" s="75"/>
      <c r="B11" s="10" t="s">
        <v>62</v>
      </c>
      <c r="C11" s="59"/>
      <c r="D11" s="59">
        <v>51</v>
      </c>
      <c r="E11" s="59"/>
      <c r="F11" s="59"/>
      <c r="G11" s="59"/>
      <c r="H11" s="59">
        <v>41</v>
      </c>
      <c r="I11" s="59"/>
      <c r="J11" s="59"/>
      <c r="K11" s="53">
        <v>0.1</v>
      </c>
      <c r="L11" s="50">
        <f t="shared" ref="L11" si="3">AVERAGE(D11,H11)</f>
        <v>46</v>
      </c>
      <c r="M11" s="7">
        <f t="shared" si="2"/>
        <v>9200</v>
      </c>
      <c r="N11" s="14"/>
    </row>
    <row r="12" spans="1:22" ht="16" customHeight="1" x14ac:dyDescent="0.35">
      <c r="A12" s="75" t="s">
        <v>106</v>
      </c>
      <c r="B12" s="10" t="s">
        <v>43</v>
      </c>
      <c r="C12" s="59"/>
      <c r="D12" s="59"/>
      <c r="E12" s="59">
        <v>16</v>
      </c>
      <c r="F12" s="59"/>
      <c r="G12" s="57"/>
      <c r="H12" s="59"/>
      <c r="I12" s="59">
        <v>19</v>
      </c>
      <c r="J12" s="59"/>
      <c r="K12" s="53">
        <v>0.01</v>
      </c>
      <c r="L12" s="50">
        <f>AVERAGE(E12,I12)</f>
        <v>17.5</v>
      </c>
      <c r="M12" s="7">
        <f>(L12/(0.01*K12))*0.2</f>
        <v>35000</v>
      </c>
      <c r="N12" s="14"/>
    </row>
    <row r="13" spans="1:22" ht="15" customHeight="1" x14ac:dyDescent="0.35">
      <c r="A13" s="75"/>
      <c r="B13" s="10" t="s">
        <v>44</v>
      </c>
      <c r="C13" s="59"/>
      <c r="D13" s="59">
        <v>91</v>
      </c>
      <c r="E13" s="59"/>
      <c r="F13" s="59"/>
      <c r="G13" s="59"/>
      <c r="H13" s="59">
        <v>64</v>
      </c>
      <c r="I13" s="59"/>
      <c r="J13" s="59"/>
      <c r="K13" s="53">
        <v>0.1</v>
      </c>
      <c r="L13" s="50">
        <f>AVERAGE(D13,H13)</f>
        <v>77.5</v>
      </c>
      <c r="M13" s="7">
        <f>(L13/(0.01*K13))*0.2</f>
        <v>15500</v>
      </c>
      <c r="N13" s="14"/>
    </row>
    <row r="14" spans="1:22" x14ac:dyDescent="0.35">
      <c r="A14" s="75"/>
      <c r="B14" s="10" t="s">
        <v>63</v>
      </c>
      <c r="C14" s="59"/>
      <c r="D14" s="59">
        <v>95</v>
      </c>
      <c r="E14" s="59"/>
      <c r="F14" s="59"/>
      <c r="G14" s="59"/>
      <c r="H14" s="59">
        <v>70</v>
      </c>
      <c r="I14" s="59"/>
      <c r="J14" s="59"/>
      <c r="K14" s="53">
        <v>0.1</v>
      </c>
      <c r="L14" s="50">
        <f>AVERAGE(D14,H14)</f>
        <v>82.5</v>
      </c>
      <c r="M14" s="7">
        <f>(L14/(0.01*K14))*0.2</f>
        <v>16500</v>
      </c>
      <c r="N14" s="14"/>
    </row>
    <row r="15" spans="1:22" x14ac:dyDescent="0.35">
      <c r="A15" s="33" t="s">
        <v>65</v>
      </c>
      <c r="B15" s="10"/>
      <c r="C15" s="53">
        <v>0</v>
      </c>
      <c r="D15" s="53" t="s">
        <v>37</v>
      </c>
      <c r="E15" s="53" t="s">
        <v>37</v>
      </c>
      <c r="F15" s="53"/>
      <c r="G15" s="53" t="s">
        <v>37</v>
      </c>
      <c r="H15" s="53" t="s">
        <v>37</v>
      </c>
      <c r="I15" s="53" t="s">
        <v>37</v>
      </c>
      <c r="J15" s="53"/>
      <c r="K15" s="53">
        <v>1</v>
      </c>
      <c r="L15" s="29">
        <v>0</v>
      </c>
      <c r="M15" s="7">
        <f>(L15/(0.1*K15))*0.2</f>
        <v>0</v>
      </c>
      <c r="N15" s="14"/>
    </row>
    <row r="16" spans="1:22" x14ac:dyDescent="0.35">
      <c r="A16" s="33" t="s">
        <v>66</v>
      </c>
      <c r="B16" s="10"/>
      <c r="C16" s="53">
        <v>0</v>
      </c>
      <c r="D16" s="53" t="s">
        <v>37</v>
      </c>
      <c r="E16" s="53" t="s">
        <v>37</v>
      </c>
      <c r="F16" s="53"/>
      <c r="G16" s="53" t="s">
        <v>37</v>
      </c>
      <c r="H16" s="53" t="s">
        <v>37</v>
      </c>
      <c r="I16" s="53" t="s">
        <v>37</v>
      </c>
      <c r="J16" s="53"/>
      <c r="K16" s="53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77" t="s">
        <v>68</v>
      </c>
      <c r="B18" s="77"/>
      <c r="C18" s="77"/>
    </row>
    <row r="19" spans="1:14" x14ac:dyDescent="0.35">
      <c r="A19" s="77" t="s">
        <v>58</v>
      </c>
      <c r="B19" s="77"/>
      <c r="C19" s="77"/>
      <c r="D19" s="36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4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CCF-29FA-4C39-81E5-A0F80E7A05AE}">
  <dimension ref="A1:K5"/>
  <sheetViews>
    <sheetView workbookViewId="0">
      <selection activeCell="M11" sqref="M11"/>
    </sheetView>
  </sheetViews>
  <sheetFormatPr defaultColWidth="8.83203125" defaultRowHeight="15.5" x14ac:dyDescent="0.35"/>
  <cols>
    <col min="1" max="1" width="17.5" customWidth="1"/>
    <col min="7" max="7" width="12.4140625" customWidth="1"/>
    <col min="8" max="9" width="15.9140625" customWidth="1"/>
    <col min="11" max="11" width="9.25" bestFit="1" customWidth="1"/>
  </cols>
  <sheetData>
    <row r="1" spans="1:11" x14ac:dyDescent="0.35">
      <c r="B1" t="s">
        <v>102</v>
      </c>
      <c r="C1" t="s">
        <v>52</v>
      </c>
      <c r="D1" t="s">
        <v>103</v>
      </c>
      <c r="E1" t="s">
        <v>52</v>
      </c>
      <c r="F1" t="s">
        <v>112</v>
      </c>
      <c r="G1" s="16" t="s">
        <v>116</v>
      </c>
      <c r="I1" t="s">
        <v>115</v>
      </c>
      <c r="J1" t="s">
        <v>113</v>
      </c>
      <c r="K1" t="s">
        <v>114</v>
      </c>
    </row>
    <row r="2" spans="1:11" x14ac:dyDescent="0.35">
      <c r="A2" s="9" t="s">
        <v>105</v>
      </c>
      <c r="B2">
        <v>126.66666666666667</v>
      </c>
      <c r="C2">
        <v>38.591881702416792</v>
      </c>
      <c r="D2">
        <v>17933.333333333332</v>
      </c>
      <c r="E2" s="7">
        <v>8640.7947165369751</v>
      </c>
      <c r="F2">
        <f>D2/B2</f>
        <v>141.57894736842104</v>
      </c>
      <c r="G2" s="14">
        <f>F2*SQRT((E2/D2)^2+(C2/B2)^2)</f>
        <v>80.710478957731681</v>
      </c>
      <c r="I2" s="10" t="s">
        <v>105</v>
      </c>
      <c r="J2">
        <v>132</v>
      </c>
      <c r="K2">
        <f>(21.5*60)/(3.3*LOG(D2/B2))</f>
        <v>181.73376614150897</v>
      </c>
    </row>
    <row r="3" spans="1:11" x14ac:dyDescent="0.35">
      <c r="A3" s="43" t="s">
        <v>104</v>
      </c>
      <c r="B3">
        <v>58</v>
      </c>
      <c r="C3">
        <v>2</v>
      </c>
      <c r="D3">
        <v>5500</v>
      </c>
      <c r="E3">
        <v>1307.669683062202</v>
      </c>
      <c r="F3">
        <f t="shared" ref="F3:F5" si="0">D3/B3</f>
        <v>94.827586206896555</v>
      </c>
      <c r="G3" s="14">
        <f t="shared" ref="G3:G5" si="1">F3*SQRT((E3/D3)^2+(C3/B3)^2)</f>
        <v>22.781917833001135</v>
      </c>
      <c r="I3" s="60" t="s">
        <v>104</v>
      </c>
      <c r="J3">
        <v>169</v>
      </c>
      <c r="K3">
        <f t="shared" ref="K3:K5" si="2">(21.5*60)/(3.3*LOG(D3/B3))</f>
        <v>197.73495387258561</v>
      </c>
    </row>
    <row r="4" spans="1:11" ht="20" customHeight="1" x14ac:dyDescent="0.35">
      <c r="A4" s="43" t="s">
        <v>110</v>
      </c>
      <c r="B4">
        <v>130</v>
      </c>
      <c r="C4">
        <v>104.65180361560904</v>
      </c>
      <c r="D4">
        <v>6366.666666666667</v>
      </c>
      <c r="E4">
        <v>3538.832199092426</v>
      </c>
      <c r="F4">
        <f t="shared" si="0"/>
        <v>48.974358974358978</v>
      </c>
      <c r="G4" s="14">
        <f t="shared" si="1"/>
        <v>47.909908132395849</v>
      </c>
      <c r="I4" s="60" t="s">
        <v>110</v>
      </c>
      <c r="J4" s="63">
        <v>147.83021885842791</v>
      </c>
      <c r="K4">
        <f t="shared" si="2"/>
        <v>231.31143019348966</v>
      </c>
    </row>
    <row r="5" spans="1:11" x14ac:dyDescent="0.35">
      <c r="A5" s="43" t="s">
        <v>107</v>
      </c>
      <c r="B5">
        <v>69</v>
      </c>
      <c r="C5">
        <v>18.384776310850235</v>
      </c>
      <c r="D5">
        <v>22333.333333333332</v>
      </c>
      <c r="E5">
        <v>10981.044273352756</v>
      </c>
      <c r="F5">
        <f t="shared" si="0"/>
        <v>323.67149758454104</v>
      </c>
      <c r="G5" s="14">
        <f t="shared" si="1"/>
        <v>181.01055210616877</v>
      </c>
      <c r="I5" s="60" t="s">
        <v>107</v>
      </c>
      <c r="J5" s="63">
        <v>147.09615156322471</v>
      </c>
      <c r="K5">
        <f t="shared" si="2"/>
        <v>155.73419256755096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18CE-D253-4BF3-BE52-69421BB146F7}">
  <dimension ref="A1:H13"/>
  <sheetViews>
    <sheetView tabSelected="1" workbookViewId="0">
      <selection activeCell="F9" sqref="F9"/>
    </sheetView>
  </sheetViews>
  <sheetFormatPr defaultRowHeight="15.5" x14ac:dyDescent="0.35"/>
  <cols>
    <col min="5" max="5" width="16.4140625" customWidth="1"/>
    <col min="6" max="6" width="17.4140625" customWidth="1"/>
  </cols>
  <sheetData>
    <row r="1" spans="1:8" ht="31" x14ac:dyDescent="0.35">
      <c r="B1" s="7" t="s">
        <v>117</v>
      </c>
      <c r="C1" t="s">
        <v>118</v>
      </c>
      <c r="D1" t="s">
        <v>119</v>
      </c>
      <c r="G1" s="64" t="s">
        <v>120</v>
      </c>
      <c r="H1" s="64" t="s">
        <v>121</v>
      </c>
    </row>
    <row r="2" spans="1:8" x14ac:dyDescent="0.35">
      <c r="A2" s="78" t="s">
        <v>105</v>
      </c>
      <c r="B2" s="7">
        <v>114</v>
      </c>
      <c r="C2">
        <v>25000</v>
      </c>
      <c r="D2" s="14">
        <f>C2/B2</f>
        <v>219.2982456140351</v>
      </c>
      <c r="E2" s="66">
        <f>AVERAGE(D2:D4)</f>
        <v>160.55448056415548</v>
      </c>
      <c r="F2" s="10" t="s">
        <v>105</v>
      </c>
    </row>
    <row r="3" spans="1:8" x14ac:dyDescent="0.35">
      <c r="A3" s="78"/>
      <c r="B3" s="7">
        <v>170</v>
      </c>
      <c r="C3">
        <v>8300</v>
      </c>
      <c r="D3" s="14">
        <f t="shared" ref="D3:D13" si="0">C3/B3</f>
        <v>48.823529411764703</v>
      </c>
      <c r="E3" s="67"/>
      <c r="F3" s="60" t="s">
        <v>104</v>
      </c>
      <c r="G3">
        <f>TTEST(D2:D4,D5:D7,2,2)</f>
        <v>0.3230330504457854</v>
      </c>
    </row>
    <row r="4" spans="1:8" x14ac:dyDescent="0.35">
      <c r="A4" s="78"/>
      <c r="B4" s="7">
        <v>96</v>
      </c>
      <c r="C4">
        <v>20500</v>
      </c>
      <c r="D4" s="14">
        <f t="shared" si="0"/>
        <v>213.54166666666666</v>
      </c>
      <c r="E4" s="67"/>
      <c r="F4" s="60" t="s">
        <v>110</v>
      </c>
      <c r="G4">
        <f>TTEST(D2:D4,D8:D10,2,2)</f>
        <v>0.28865674598063884</v>
      </c>
      <c r="H4">
        <f>TTEST(D5:D7,D8:D10,2,2)</f>
        <v>0.65070964303970213</v>
      </c>
    </row>
    <row r="5" spans="1:8" x14ac:dyDescent="0.35">
      <c r="A5" s="79" t="s">
        <v>104</v>
      </c>
      <c r="B5" s="7">
        <v>58</v>
      </c>
      <c r="C5">
        <v>4900</v>
      </c>
      <c r="D5" s="14">
        <f t="shared" si="0"/>
        <v>84.482758620689651</v>
      </c>
      <c r="E5" s="66">
        <f>AVERAGE(D5:D7)</f>
        <v>95.383141762452112</v>
      </c>
      <c r="F5" s="60" t="s">
        <v>107</v>
      </c>
      <c r="G5">
        <f>TTEST(D2:D4,D11:D13,2,2)</f>
        <v>7.2007523956635594E-2</v>
      </c>
      <c r="H5" s="65">
        <f>TTEST(D5:D7,D11:D13,2,2)</f>
        <v>7.5749286721930207E-3</v>
      </c>
    </row>
    <row r="6" spans="1:8" x14ac:dyDescent="0.35">
      <c r="A6" s="79"/>
      <c r="B6" s="7">
        <v>60</v>
      </c>
      <c r="C6">
        <v>4600</v>
      </c>
      <c r="D6" s="14">
        <f t="shared" si="0"/>
        <v>76.666666666666671</v>
      </c>
      <c r="E6" s="67"/>
    </row>
    <row r="7" spans="1:8" x14ac:dyDescent="0.35">
      <c r="A7" s="79"/>
      <c r="B7" s="7">
        <v>56</v>
      </c>
      <c r="C7">
        <v>7000</v>
      </c>
      <c r="D7" s="14">
        <f t="shared" si="0"/>
        <v>125</v>
      </c>
      <c r="E7" s="67"/>
    </row>
    <row r="8" spans="1:8" x14ac:dyDescent="0.35">
      <c r="A8" s="79" t="s">
        <v>122</v>
      </c>
      <c r="B8" s="7">
        <v>188</v>
      </c>
      <c r="C8">
        <v>2400</v>
      </c>
      <c r="D8" s="14">
        <f t="shared" si="0"/>
        <v>12.76595744680851</v>
      </c>
      <c r="E8" s="66">
        <f>AVERAGE(D8:D10)</f>
        <v>71.272125871625249</v>
      </c>
    </row>
    <row r="9" spans="1:8" x14ac:dyDescent="0.35">
      <c r="A9" s="79"/>
      <c r="B9" s="7">
        <v>204</v>
      </c>
      <c r="C9">
        <v>7500</v>
      </c>
      <c r="D9" s="14">
        <f t="shared" si="0"/>
        <v>36.764705882352942</v>
      </c>
    </row>
    <row r="10" spans="1:8" x14ac:dyDescent="0.35">
      <c r="A10" s="79"/>
      <c r="B10" s="7">
        <v>56</v>
      </c>
      <c r="C10">
        <v>9200</v>
      </c>
      <c r="D10" s="14">
        <f t="shared" si="0"/>
        <v>164.28571428571428</v>
      </c>
    </row>
    <row r="11" spans="1:8" x14ac:dyDescent="0.35">
      <c r="A11" s="79" t="s">
        <v>123</v>
      </c>
      <c r="B11" s="7">
        <v>82</v>
      </c>
      <c r="C11">
        <v>35000</v>
      </c>
      <c r="D11" s="14">
        <f t="shared" si="0"/>
        <v>426.82926829268291</v>
      </c>
      <c r="E11" s="66">
        <f>AVERAGE(D11:D13)</f>
        <v>336.39017937798423</v>
      </c>
    </row>
    <row r="12" spans="1:8" x14ac:dyDescent="0.35">
      <c r="A12" s="79"/>
      <c r="B12" s="7">
        <v>56</v>
      </c>
      <c r="C12">
        <v>15500</v>
      </c>
      <c r="D12" s="14">
        <f t="shared" si="0"/>
        <v>276.78571428571428</v>
      </c>
    </row>
    <row r="13" spans="1:8" x14ac:dyDescent="0.35">
      <c r="A13" s="79"/>
      <c r="B13">
        <v>54</v>
      </c>
      <c r="C13">
        <v>16500</v>
      </c>
      <c r="D13" s="14">
        <f t="shared" si="0"/>
        <v>305.55555555555554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ExperimentalSetup</vt:lpstr>
      <vt:lpstr>Plate Needs</vt:lpstr>
      <vt:lpstr>Inoculum Setup</vt:lpstr>
      <vt:lpstr>Inoculum</vt:lpstr>
      <vt:lpstr>T=2</vt:lpstr>
      <vt:lpstr>T=24</vt:lpstr>
      <vt:lpstr>2 vs 24</vt:lpstr>
      <vt:lpstr>Fold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Hannah Trautmann</cp:lastModifiedBy>
  <cp:lastPrinted>2019-03-13T17:50:00Z</cp:lastPrinted>
  <dcterms:created xsi:type="dcterms:W3CDTF">2016-02-15T21:32:37Z</dcterms:created>
  <dcterms:modified xsi:type="dcterms:W3CDTF">2021-02-08T15:25:06Z</dcterms:modified>
</cp:coreProperties>
</file>