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Shared drives\KRamsey Lab\Hannah Trautmann\Data\Macrophage assays\"/>
    </mc:Choice>
  </mc:AlternateContent>
  <xr:revisionPtr revIDLastSave="0" documentId="13_ncr:1_{41D9EDDC-C08E-44A9-8E84-959CCF4CD2D7}" xr6:coauthVersionLast="45" xr6:coauthVersionMax="45" xr10:uidLastSave="{00000000-0000-0000-0000-000000000000}"/>
  <bookViews>
    <workbookView xWindow="-110" yWindow="-110" windowWidth="19420" windowHeight="11020" tabRatio="500" firstSheet="3" activeTab="5" xr2:uid="{00000000-000D-0000-FFFF-FFFF00000000}"/>
  </bookViews>
  <sheets>
    <sheet name="ExperimentalSetup" sheetId="1" r:id="rId1"/>
    <sheet name="Plate Needs" sheetId="5" r:id="rId2"/>
    <sheet name="Inoculum Setup" sheetId="6" r:id="rId3"/>
    <sheet name="Inoculum" sheetId="2" r:id="rId4"/>
    <sheet name="T=2" sheetId="4" r:id="rId5"/>
    <sheet name="T=24" sheetId="3" r:id="rId6"/>
    <sheet name="2 vs 24" sheetId="7" r:id="rId7"/>
    <sheet name="Fold Change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5" i="3" l="1"/>
  <c r="S4" i="3"/>
  <c r="E8" i="8" l="1"/>
  <c r="E5" i="8"/>
  <c r="E2" i="8"/>
  <c r="G3" i="8"/>
  <c r="D9" i="8"/>
  <c r="D8" i="8"/>
  <c r="D5" i="8"/>
  <c r="D3" i="8"/>
  <c r="D2" i="8"/>
  <c r="D10" i="8"/>
  <c r="D7" i="8"/>
  <c r="D6" i="8"/>
  <c r="D4" i="8"/>
  <c r="G4" i="8" l="1"/>
  <c r="H4" i="8"/>
  <c r="G3" i="7" l="1"/>
  <c r="G4" i="7"/>
  <c r="G2" i="7"/>
  <c r="P4" i="3" l="1"/>
  <c r="J4" i="7" l="1"/>
  <c r="J3" i="7"/>
  <c r="J2" i="7"/>
  <c r="L11" i="3" l="1"/>
  <c r="L9" i="3"/>
  <c r="F3" i="7" l="1"/>
  <c r="F4" i="7"/>
  <c r="L5" i="3" l="1"/>
  <c r="H4" i="2" l="1"/>
  <c r="H5" i="2"/>
  <c r="H6" i="2"/>
  <c r="H7" i="2"/>
  <c r="H8" i="2"/>
  <c r="H9" i="2"/>
  <c r="H10" i="2"/>
  <c r="H3" i="2"/>
  <c r="P24" i="1" l="1"/>
  <c r="F2" i="7" l="1"/>
  <c r="L13" i="3" l="1"/>
  <c r="L14" i="3"/>
  <c r="L12" i="3"/>
  <c r="L3" i="3" l="1"/>
  <c r="L10" i="3"/>
  <c r="L4" i="3"/>
  <c r="B6" i="5" l="1"/>
  <c r="C6" i="5"/>
  <c r="B5" i="5"/>
  <c r="C4" i="5"/>
  <c r="B5" i="6" l="1"/>
  <c r="B4" i="6"/>
  <c r="B3" i="6"/>
  <c r="L7" i="3" l="1"/>
  <c r="M7" i="3" s="1"/>
  <c r="L8" i="3"/>
  <c r="M8" i="3" s="1"/>
  <c r="L6" i="3"/>
  <c r="M6" i="3" s="1"/>
  <c r="M3" i="3" l="1"/>
  <c r="C7" i="5" l="1"/>
  <c r="C8" i="5" s="1"/>
  <c r="B7" i="5"/>
  <c r="B8" i="5" s="1"/>
  <c r="Q8" i="1"/>
  <c r="Q24" i="1"/>
  <c r="Q10" i="1"/>
  <c r="Q18" i="1" s="1"/>
  <c r="Q20" i="1" s="1"/>
  <c r="Q22" i="1" s="1"/>
  <c r="Q4" i="1"/>
  <c r="B9" i="5" l="1"/>
  <c r="P8" i="1"/>
  <c r="P10" i="1"/>
  <c r="F3" i="4"/>
  <c r="G3" i="4" s="1"/>
  <c r="F4" i="4"/>
  <c r="G4" i="4" s="1"/>
  <c r="F5" i="4"/>
  <c r="G5" i="4" s="1"/>
  <c r="F6" i="4"/>
  <c r="G6" i="4" s="1"/>
  <c r="F7" i="4"/>
  <c r="G7" i="4" s="1"/>
  <c r="F8" i="4"/>
  <c r="G8" i="4" s="1"/>
  <c r="M10" i="3"/>
  <c r="M11" i="3"/>
  <c r="M9" i="3"/>
  <c r="J3" i="2"/>
  <c r="L3" i="2" s="1"/>
  <c r="C14" i="2" s="1"/>
  <c r="M14" i="3"/>
  <c r="P4" i="1"/>
  <c r="M4" i="3"/>
  <c r="M5" i="3"/>
  <c r="M13" i="3"/>
  <c r="M12" i="3"/>
  <c r="F13" i="4"/>
  <c r="G13" i="4" s="1"/>
  <c r="M15" i="3"/>
  <c r="L16" i="3"/>
  <c r="M16" i="3" s="1"/>
  <c r="D17" i="3"/>
  <c r="E17" i="3" s="1"/>
  <c r="F10" i="4"/>
  <c r="G10" i="4" s="1"/>
  <c r="F11" i="4"/>
  <c r="G11" i="4" s="1"/>
  <c r="F12" i="4"/>
  <c r="G12" i="4" s="1"/>
  <c r="F9" i="4"/>
  <c r="G9" i="4" s="1"/>
  <c r="D11" i="2"/>
  <c r="E11" i="2" s="1"/>
  <c r="F11" i="2" s="1"/>
  <c r="H17" i="3"/>
  <c r="I17" i="3" s="1"/>
  <c r="N6" i="4" l="1"/>
  <c r="L6" i="4"/>
  <c r="K6" i="4"/>
  <c r="H12" i="4"/>
  <c r="P18" i="1"/>
  <c r="P20" i="1" s="1"/>
  <c r="P22" i="1" s="1"/>
  <c r="N4" i="4"/>
  <c r="K4" i="4"/>
  <c r="I5" i="2"/>
  <c r="K5" i="2" s="1"/>
  <c r="M5" i="2" s="1"/>
  <c r="Q5" i="3"/>
  <c r="P5" i="3"/>
  <c r="J5" i="2"/>
  <c r="L5" i="2" s="1"/>
  <c r="C15" i="2" s="1"/>
  <c r="I7" i="2"/>
  <c r="K7" i="2" s="1"/>
  <c r="M7" i="2" s="1"/>
  <c r="I9" i="2"/>
  <c r="K9" i="2" s="1"/>
  <c r="M9" i="2" s="1"/>
  <c r="I3" i="2"/>
  <c r="K3" i="2" s="1"/>
  <c r="M3" i="2" s="1"/>
  <c r="J7" i="2"/>
  <c r="L7" i="2" s="1"/>
  <c r="C16" i="2" s="1"/>
  <c r="L4" i="4"/>
  <c r="K5" i="4"/>
  <c r="L5" i="4"/>
  <c r="P6" i="3"/>
  <c r="Q6" i="3"/>
  <c r="S6" i="3"/>
  <c r="Q3" i="3"/>
  <c r="P3" i="3"/>
  <c r="T3" i="3" s="1"/>
  <c r="S5" i="3"/>
  <c r="H6" i="4"/>
  <c r="H3" i="4"/>
  <c r="K3" i="4"/>
  <c r="O3" i="4" s="1"/>
  <c r="H9" i="4"/>
  <c r="L3" i="4"/>
  <c r="N5" i="4"/>
  <c r="Q4" i="3"/>
  <c r="J9" i="2"/>
  <c r="L9" i="2" s="1"/>
  <c r="C17" i="2" s="1"/>
  <c r="B15" i="2" l="1"/>
  <c r="B17" i="2"/>
  <c r="O6" i="4"/>
  <c r="B16" i="2"/>
  <c r="B14" i="2"/>
  <c r="O5" i="4"/>
  <c r="T4" i="3"/>
  <c r="T6" i="3"/>
  <c r="O4" i="4"/>
  <c r="T5" i="3"/>
</calcChain>
</file>

<file path=xl/sharedStrings.xml><?xml version="1.0" encoding="utf-8"?>
<sst xmlns="http://schemas.openxmlformats.org/spreadsheetml/2006/main" count="259" uniqueCount="123">
  <si>
    <t xml:space="preserve"> </t>
  </si>
  <si>
    <t>Macrophage Calculations</t>
  </si>
  <si>
    <t>A</t>
  </si>
  <si>
    <t>mac only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</si>
  <si>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</si>
  <si>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</si>
  <si>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</si>
  <si>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</si>
  <si>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</si>
  <si>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</si>
  <si>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</si>
  <si>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</si>
  <si>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</si>
  <si>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</si>
  <si>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</si>
  <si>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</si>
  <si>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</si>
  <si>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</si>
  <si>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</si>
  <si>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Bacterial Calculations</t>
  </si>
  <si>
    <t xml:space="preserve">                    </t>
  </si>
  <si>
    <t>MOI</t>
  </si>
  <si>
    <t>Macrophage cells per well</t>
  </si>
  <si>
    <t>Volume bacteria to add (mL)</t>
  </si>
  <si>
    <t>Bacterial density needed (cells/mL)</t>
  </si>
  <si>
    <t>Cells/mL per OD600</t>
  </si>
  <si>
    <t>OD needed for given density</t>
  </si>
  <si>
    <t>Resuspend to</t>
  </si>
  <si>
    <t>Final MOI 5, dilute 1:100</t>
  </si>
  <si>
    <t>Inoculum</t>
  </si>
  <si>
    <t>Replicate</t>
  </si>
  <si>
    <t>Dilution factor counted</t>
  </si>
  <si>
    <t>Cells / mL</t>
  </si>
  <si>
    <t>Average Cells / mL</t>
  </si>
  <si>
    <t>St dev</t>
  </si>
  <si>
    <t>CFU per well</t>
  </si>
  <si>
    <t>1A</t>
  </si>
  <si>
    <t>-</t>
  </si>
  <si>
    <t>1B</t>
  </si>
  <si>
    <t>2A</t>
  </si>
  <si>
    <t>2B</t>
  </si>
  <si>
    <t>3A</t>
  </si>
  <si>
    <t>3B</t>
  </si>
  <si>
    <t>4A</t>
  </si>
  <si>
    <t>4B</t>
  </si>
  <si>
    <t>Dilution Factor</t>
  </si>
  <si>
    <t>CFU/well</t>
  </si>
  <si>
    <t>Plate</t>
  </si>
  <si>
    <t>Plate 1</t>
  </si>
  <si>
    <t>Plate 2</t>
  </si>
  <si>
    <t>Average Cells</t>
  </si>
  <si>
    <t>Average CFU per well</t>
  </si>
  <si>
    <t>St Dev</t>
  </si>
  <si>
    <t>Original MOI</t>
  </si>
  <si>
    <t>50 ul cells plated</t>
  </si>
  <si>
    <t>*100 ul cells plated</t>
  </si>
  <si>
    <t>Track Plate 1</t>
  </si>
  <si>
    <t>Track Plate 2</t>
  </si>
  <si>
    <t>**Plated 100 ul on circular plate</t>
  </si>
  <si>
    <t>T-test</t>
  </si>
  <si>
    <t>Fold Change</t>
  </si>
  <si>
    <t>1C</t>
  </si>
  <si>
    <t>3C</t>
  </si>
  <si>
    <t>4C</t>
  </si>
  <si>
    <t>2C</t>
  </si>
  <si>
    <t>macrophage**</t>
  </si>
  <si>
    <t>LVS**</t>
  </si>
  <si>
    <t>LVS only</t>
  </si>
  <si>
    <t>*Plated 50 ul on circular plate</t>
  </si>
  <si>
    <t>T-test (vs LVS)</t>
  </si>
  <si>
    <t>macrophage*</t>
  </si>
  <si>
    <t>LVS*</t>
  </si>
  <si>
    <t>Actual</t>
  </si>
  <si>
    <t>Example</t>
  </si>
  <si>
    <t>MOI (based on number of seeded macrophage- see setup)</t>
  </si>
  <si>
    <t>Number of plates</t>
  </si>
  <si>
    <t>Patch strains for infections</t>
  </si>
  <si>
    <t>Round</t>
  </si>
  <si>
    <t>Square</t>
  </si>
  <si>
    <t>Plate inoculumns</t>
  </si>
  <si>
    <t>Timepoint 2 hours</t>
  </si>
  <si>
    <t>Notes</t>
  </si>
  <si>
    <t>2x each</t>
  </si>
  <si>
    <t>4 strains in duplicate</t>
  </si>
  <si>
    <t>3 wells plated in duplicate x 4 strains plus 2 plates for control wells</t>
  </si>
  <si>
    <t>Timepoint 24 hours</t>
  </si>
  <si>
    <t>Total plates</t>
  </si>
  <si>
    <t>Flasks of 600 mL CHA</t>
  </si>
  <si>
    <t>Total number of CHA flasks</t>
  </si>
  <si>
    <t>Round plates: 24 mL, 25 per flask; Square plates: 30 mL, 20 per flask</t>
  </si>
  <si>
    <t>Use</t>
  </si>
  <si>
    <t>∆pigR</t>
  </si>
  <si>
    <t>Undiluted inoculum</t>
  </si>
  <si>
    <t>Square: 3 wells plated in duplicate x 3 strains (all but negative control); Round: 3 wells plated in duplicate (negative only), 2 plates for control wells</t>
  </si>
  <si>
    <t>Desired cells per well</t>
  </si>
  <si>
    <t>C1V1=C2V2</t>
  </si>
  <si>
    <t>Average of 3 counts</t>
  </si>
  <si>
    <t>Always the same</t>
  </si>
  <si>
    <t>From last night's measurement</t>
  </si>
  <si>
    <t>Because OD needed is too small to be measured</t>
  </si>
  <si>
    <t>Below is completed not in hood!</t>
  </si>
  <si>
    <t>St dev/well</t>
  </si>
  <si>
    <t>LVS only was contaminated</t>
  </si>
  <si>
    <t>chart with 2 hour</t>
  </si>
  <si>
    <t>chart with fold change to two hour</t>
  </si>
  <si>
    <t>T=2</t>
  </si>
  <si>
    <t>T=24</t>
  </si>
  <si>
    <t>Fold change</t>
  </si>
  <si>
    <t>Generation Time in Vitro</t>
  </si>
  <si>
    <t>∆rpsU2 + pF</t>
  </si>
  <si>
    <t>LVS + pF</t>
  </si>
  <si>
    <t>∆rpsU2 + complement</t>
  </si>
  <si>
    <t>∆rpsU2 + pKR7</t>
  </si>
  <si>
    <t>GT in Vivo</t>
  </si>
  <si>
    <r>
      <t xml:space="preserve">∆rpsU2 </t>
    </r>
    <r>
      <rPr>
        <sz val="12"/>
        <color theme="1"/>
        <rFont val="Calibri"/>
        <family val="2"/>
        <scheme val="minor"/>
      </rPr>
      <t>+ pF-rpsU2</t>
    </r>
  </si>
  <si>
    <t>t=2 hrs</t>
  </si>
  <si>
    <t>t=24 hrs</t>
  </si>
  <si>
    <t>t-test vs LVS</t>
  </si>
  <si>
    <t>t-test vs drpsU2</t>
  </si>
  <si>
    <r>
      <t xml:space="preserve">∆rpsU2 </t>
    </r>
    <r>
      <rPr>
        <sz val="12"/>
        <color theme="1"/>
        <rFont val="Calibri"/>
        <family val="2"/>
        <scheme val="minor"/>
      </rPr>
      <t>+ pF-rpsU1</t>
    </r>
  </si>
  <si>
    <t>∆rpsU2 + pF-rpsU1</t>
  </si>
  <si>
    <t>Std Error</t>
  </si>
  <si>
    <t>vs.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</si>
</sst>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1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11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Fill="1" applyBorder="1"/>
    <xf numFmtId="11" fontId="0" fillId="0" borderId="1" xfId="0" applyNumberFormat="1" applyFill="1" applyBorder="1"/>
    <xf numFmtId="166" fontId="0" fillId="0" borderId="1" xfId="0" applyNumberFormat="1" applyFill="1" applyBorder="1"/>
    <xf numFmtId="166" fontId="0" fillId="0" borderId="1" xfId="0" applyNumberFormat="1" applyFill="1" applyBorder="1" applyAlignment="1">
      <alignment horizontal="right"/>
    </xf>
    <xf numFmtId="0" fontId="0" fillId="0" borderId="1" xfId="0" applyFill="1" applyBorder="1"/>
    <xf numFmtId="164" fontId="0" fillId="0" borderId="1" xfId="0" applyNumberFormat="1" applyFill="1" applyBorder="1"/>
    <xf numFmtId="1" fontId="0" fillId="0" borderId="1" xfId="0" applyNumberFormat="1" applyFill="1" applyBorder="1"/>
    <xf numFmtId="0" fontId="0" fillId="0" borderId="1" xfId="0" applyFill="1" applyBorder="1" applyAlignment="1">
      <alignment horizontal="right"/>
    </xf>
    <xf numFmtId="11" fontId="0" fillId="0" borderId="1" xfId="0" applyNumberForma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center" vertical="center"/>
    </xf>
    <xf numFmtId="0" fontId="0" fillId="3" borderId="0" xfId="0" applyFill="1"/>
    <xf numFmtId="0" fontId="1" fillId="0" borderId="1" xfId="0" applyFont="1" applyBorder="1" applyAlignment="1">
      <alignment horizont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5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Inoculum!$B$13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Inoculum!$C$14:$C$17</c:f>
                <c:numCache>
                  <c:formatCode>General</c:formatCode>
                  <c:ptCount val="4"/>
                  <c:pt idx="0">
                    <c:v>1060.6601717798212</c:v>
                  </c:pt>
                  <c:pt idx="1">
                    <c:v>1767.766952966369</c:v>
                  </c:pt>
                  <c:pt idx="2">
                    <c:v>8485.2813742385697</c:v>
                  </c:pt>
                  <c:pt idx="3">
                    <c:v>707.10678118654755</c:v>
                  </c:pt>
                </c:numCache>
              </c:numRef>
            </c:plus>
            <c:minus>
              <c:numRef>
                <c:f>Inoculum!$C$14:$C$17</c:f>
                <c:numCache>
                  <c:formatCode>General</c:formatCode>
                  <c:ptCount val="4"/>
                  <c:pt idx="0">
                    <c:v>1060.6601717798212</c:v>
                  </c:pt>
                  <c:pt idx="1">
                    <c:v>1767.766952966369</c:v>
                  </c:pt>
                  <c:pt idx="2">
                    <c:v>8485.2813742385697</c:v>
                  </c:pt>
                  <c:pt idx="3">
                    <c:v>707.10678118654755</c:v>
                  </c:pt>
                </c:numCache>
              </c:numRef>
            </c:minus>
          </c:errBars>
          <c:cat>
            <c:strRef>
              <c:f>Inoculum!$A$14:$A$17</c:f>
              <c:strCache>
                <c:ptCount val="4"/>
                <c:pt idx="0">
                  <c:v>LVS + pF</c:v>
                </c:pt>
                <c:pt idx="1">
                  <c:v>∆rpsU2 + pF</c:v>
                </c:pt>
                <c:pt idx="2">
                  <c:v>∆rpsU2 + complement</c:v>
                </c:pt>
                <c:pt idx="3">
                  <c:v>∆pigR</c:v>
                </c:pt>
              </c:strCache>
            </c:strRef>
          </c:cat>
          <c:val>
            <c:numRef>
              <c:f>Inoculum!$B$14:$B$17</c:f>
              <c:numCache>
                <c:formatCode>0.00E+00</c:formatCode>
                <c:ptCount val="4"/>
                <c:pt idx="0">
                  <c:v>47250</c:v>
                </c:pt>
                <c:pt idx="1">
                  <c:v>36250</c:v>
                </c:pt>
                <c:pt idx="2">
                  <c:v>60500</c:v>
                </c:pt>
                <c:pt idx="3">
                  <c:v>31000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7-9243-A823-DF797AE1F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'T=2'!$L$3:$L$6</c:f>
                <c:numCache>
                  <c:formatCode>General</c:formatCode>
                  <c:ptCount val="4"/>
                  <c:pt idx="0">
                    <c:v>17.009801096230763</c:v>
                  </c:pt>
                  <c:pt idx="1">
                    <c:v>8.0829037686547593</c:v>
                  </c:pt>
                  <c:pt idx="2">
                    <c:v>4.2426406871192848</c:v>
                  </c:pt>
                  <c:pt idx="3">
                    <c:v>14.142135623730951</c:v>
                  </c:pt>
                </c:numCache>
              </c:numRef>
            </c:plus>
            <c:minus>
              <c:numRef>
                <c:f>'T=2'!$L$3:$L$6</c:f>
                <c:numCache>
                  <c:formatCode>General</c:formatCode>
                  <c:ptCount val="4"/>
                  <c:pt idx="0">
                    <c:v>17.009801096230763</c:v>
                  </c:pt>
                  <c:pt idx="1">
                    <c:v>8.0829037686547593</c:v>
                  </c:pt>
                  <c:pt idx="2">
                    <c:v>4.2426406871192848</c:v>
                  </c:pt>
                  <c:pt idx="3">
                    <c:v>14.142135623730951</c:v>
                  </c:pt>
                </c:numCache>
              </c:numRef>
            </c:minus>
          </c:errBars>
          <c:cat>
            <c:strRef>
              <c:f>'T=2'!$J$3:$J$8</c:f>
              <c:strCache>
                <c:ptCount val="4"/>
                <c:pt idx="0">
                  <c:v>LVS + pF</c:v>
                </c:pt>
                <c:pt idx="1">
                  <c:v>∆rpsU2 + pF</c:v>
                </c:pt>
                <c:pt idx="2">
                  <c:v>∆rpsU2 + complement</c:v>
                </c:pt>
                <c:pt idx="3">
                  <c:v>∆pigR</c:v>
                </c:pt>
              </c:strCache>
            </c:strRef>
          </c:cat>
          <c:val>
            <c:numRef>
              <c:f>'T=2'!$K$3:$K$6</c:f>
              <c:numCache>
                <c:formatCode>0.00E+00</c:formatCode>
                <c:ptCount val="4"/>
                <c:pt idx="0">
                  <c:v>32.666666666666664</c:v>
                </c:pt>
                <c:pt idx="1">
                  <c:v>14.666666666666666</c:v>
                </c:pt>
                <c:pt idx="2">
                  <c:v>17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0-D844-9E5D-E914FA688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'T=24'!$P$2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'T=24'!$Q$3:$Q$6</c:f>
                <c:numCache>
                  <c:formatCode>General</c:formatCode>
                  <c:ptCount val="4"/>
                  <c:pt idx="0">
                    <c:v>5838.6642307980001</c:v>
                  </c:pt>
                  <c:pt idx="1">
                    <c:v>597.02037932832195</c:v>
                  </c:pt>
                  <c:pt idx="2">
                    <c:v>24027.761721253464</c:v>
                  </c:pt>
                  <c:pt idx="3">
                    <c:v>0</c:v>
                  </c:pt>
                </c:numCache>
              </c:numRef>
            </c:plus>
            <c:minus>
              <c:numRef>
                <c:f>'T=24'!$Q$3:$Q$6</c:f>
                <c:numCache>
                  <c:formatCode>General</c:formatCode>
                  <c:ptCount val="4"/>
                  <c:pt idx="0">
                    <c:v>5838.6642307980001</c:v>
                  </c:pt>
                  <c:pt idx="1">
                    <c:v>597.02037932832195</c:v>
                  </c:pt>
                  <c:pt idx="2">
                    <c:v>24027.761721253464</c:v>
                  </c:pt>
                  <c:pt idx="3">
                    <c:v>0</c:v>
                  </c:pt>
                </c:numCache>
              </c:numRef>
            </c:minus>
          </c:errBars>
          <c:cat>
            <c:strRef>
              <c:f>'T=24'!$O$3:$O$6</c:f>
              <c:strCache>
                <c:ptCount val="4"/>
                <c:pt idx="0">
                  <c:v>LVS + pF</c:v>
                </c:pt>
                <c:pt idx="1">
                  <c:v>∆rpsU2 + pF</c:v>
                </c:pt>
                <c:pt idx="2">
                  <c:v>∆rpsU2 + pKR7</c:v>
                </c:pt>
                <c:pt idx="3">
                  <c:v>∆pigR</c:v>
                </c:pt>
              </c:strCache>
            </c:strRef>
          </c:cat>
          <c:val>
            <c:numRef>
              <c:f>'T=24'!$P$3:$P$6</c:f>
              <c:numCache>
                <c:formatCode>0.00E+00</c:formatCode>
                <c:ptCount val="4"/>
                <c:pt idx="0">
                  <c:v>11800</c:v>
                </c:pt>
                <c:pt idx="1">
                  <c:v>756.66666666666663</c:v>
                </c:pt>
                <c:pt idx="2">
                  <c:v>37666.666666666664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C-1340-A0AC-6C65CBE06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 vs 24'!$B$1</c:f>
              <c:strCache>
                <c:ptCount val="1"/>
                <c:pt idx="0">
                  <c:v>T=2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 vs 24'!$C$2:$C$4</c:f>
                <c:numCache>
                  <c:formatCode>General</c:formatCode>
                  <c:ptCount val="3"/>
                  <c:pt idx="0">
                    <c:v>17.009801096230763</c:v>
                  </c:pt>
                  <c:pt idx="1">
                    <c:v>8.0829037686547593</c:v>
                  </c:pt>
                  <c:pt idx="2">
                    <c:v>4.2426406871192848</c:v>
                  </c:pt>
                </c:numCache>
              </c:numRef>
            </c:plus>
            <c:minus>
              <c:numRef>
                <c:f>'2 vs 24'!$C$2:$C$4</c:f>
                <c:numCache>
                  <c:formatCode>General</c:formatCode>
                  <c:ptCount val="3"/>
                  <c:pt idx="0">
                    <c:v>17.009801096230763</c:v>
                  </c:pt>
                  <c:pt idx="1">
                    <c:v>8.0829037686547593</c:v>
                  </c:pt>
                  <c:pt idx="2">
                    <c:v>4.2426406871192848</c:v>
                  </c:pt>
                </c:numCache>
              </c:numRef>
            </c:minus>
            <c:spPr>
              <a:solidFill>
                <a:schemeClr val="tx1"/>
              </a:solidFill>
              <a:ln w="9525" cap="flat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'2 vs 24'!$A$2:$A$4</c:f>
              <c:strCache>
                <c:ptCount val="3"/>
                <c:pt idx="0">
                  <c:v>LVS + pF</c:v>
                </c:pt>
                <c:pt idx="1">
                  <c:v>∆rpsU2 + pF</c:v>
                </c:pt>
                <c:pt idx="2">
                  <c:v>∆rpsU2 + pF-rpsU2</c:v>
                </c:pt>
              </c:strCache>
            </c:strRef>
          </c:cat>
          <c:val>
            <c:numRef>
              <c:f>'2 vs 24'!$B$2:$B$4</c:f>
              <c:numCache>
                <c:formatCode>General</c:formatCode>
                <c:ptCount val="3"/>
                <c:pt idx="0">
                  <c:v>32.666666666666664</c:v>
                </c:pt>
                <c:pt idx="1">
                  <c:v>14.666666666666666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D-46FB-9425-FBB51D853FD1}"/>
            </c:ext>
          </c:extLst>
        </c:ser>
        <c:ser>
          <c:idx val="1"/>
          <c:order val="1"/>
          <c:tx>
            <c:strRef>
              <c:f>'2 vs 24'!$D$1</c:f>
              <c:strCache>
                <c:ptCount val="1"/>
                <c:pt idx="0">
                  <c:v>T=24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 vs 24'!$E$2:$E$4</c:f>
                <c:numCache>
                  <c:formatCode>General</c:formatCode>
                  <c:ptCount val="3"/>
                  <c:pt idx="0">
                    <c:v>5838.6642307980001</c:v>
                  </c:pt>
                  <c:pt idx="1">
                    <c:v>597.02037932832195</c:v>
                  </c:pt>
                  <c:pt idx="2">
                    <c:v>24027.761721253464</c:v>
                  </c:pt>
                </c:numCache>
              </c:numRef>
            </c:plus>
            <c:minus>
              <c:numRef>
                <c:f>'2 vs 24'!$E$2:$E$4</c:f>
                <c:numCache>
                  <c:formatCode>General</c:formatCode>
                  <c:ptCount val="3"/>
                  <c:pt idx="0">
                    <c:v>5838.6642307980001</c:v>
                  </c:pt>
                  <c:pt idx="1">
                    <c:v>597.02037932832195</c:v>
                  </c:pt>
                  <c:pt idx="2">
                    <c:v>24027.761721253464</c:v>
                  </c:pt>
                </c:numCache>
              </c:numRef>
            </c:minus>
            <c:spPr>
              <a:solidFill>
                <a:schemeClr val="tx1"/>
              </a:solidFill>
              <a:ln w="9525" cap="flat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'2 vs 24'!$A$2:$A$4</c:f>
              <c:strCache>
                <c:ptCount val="3"/>
                <c:pt idx="0">
                  <c:v>LVS + pF</c:v>
                </c:pt>
                <c:pt idx="1">
                  <c:v>∆rpsU2 + pF</c:v>
                </c:pt>
                <c:pt idx="2">
                  <c:v>∆rpsU2 + pF-rpsU2</c:v>
                </c:pt>
              </c:strCache>
            </c:strRef>
          </c:cat>
          <c:val>
            <c:numRef>
              <c:f>'2 vs 24'!$D$2:$D$4</c:f>
              <c:numCache>
                <c:formatCode>General</c:formatCode>
                <c:ptCount val="3"/>
                <c:pt idx="0">
                  <c:v>11800</c:v>
                </c:pt>
                <c:pt idx="1">
                  <c:v>756.66666666666663</c:v>
                </c:pt>
                <c:pt idx="2">
                  <c:v>37666.666666666664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D-46FB-9425-FBB51D853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40370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756259400159282E-2"/>
          <c:y val="0.89274093708583457"/>
          <c:w val="0.1534086525701141"/>
          <c:h val="7.1615498557729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 vs 24'!$F$1</c:f>
              <c:strCache>
                <c:ptCount val="1"/>
                <c:pt idx="0">
                  <c:v>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'2 vs 24'!$G$2:$G$4</c:f>
                <c:numCache>
                  <c:formatCode>General</c:formatCode>
                  <c:ptCount val="3"/>
                  <c:pt idx="0">
                    <c:v>259.47036927645581</c:v>
                  </c:pt>
                  <c:pt idx="1">
                    <c:v>49.652374611793249</c:v>
                  </c:pt>
                  <c:pt idx="2">
                    <c:v>1517.7155882159479</c:v>
                  </c:pt>
                </c:numCache>
              </c:numRef>
            </c:plus>
            <c:minus>
              <c:numRef>
                <c:f>'2 vs 24'!$G$2:$G$4</c:f>
                <c:numCache>
                  <c:formatCode>General</c:formatCode>
                  <c:ptCount val="3"/>
                  <c:pt idx="0">
                    <c:v>259.47036927645581</c:v>
                  </c:pt>
                  <c:pt idx="1">
                    <c:v>49.652374611793249</c:v>
                  </c:pt>
                  <c:pt idx="2">
                    <c:v>1517.7155882159479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 vs 24'!$A$2:$A$4</c:f>
              <c:strCache>
                <c:ptCount val="3"/>
                <c:pt idx="0">
                  <c:v>LVS + pF</c:v>
                </c:pt>
                <c:pt idx="1">
                  <c:v>∆rpsU2 + pF</c:v>
                </c:pt>
                <c:pt idx="2">
                  <c:v>∆rpsU2 + pF-rpsU2</c:v>
                </c:pt>
              </c:strCache>
            </c:strRef>
          </c:cat>
          <c:val>
            <c:numRef>
              <c:f>'2 vs 24'!$F$2:$F$4</c:f>
              <c:numCache>
                <c:formatCode>General</c:formatCode>
                <c:ptCount val="3"/>
                <c:pt idx="0">
                  <c:v>361.22448979591837</c:v>
                </c:pt>
                <c:pt idx="1">
                  <c:v>51.590909090909093</c:v>
                </c:pt>
                <c:pt idx="2">
                  <c:v>2215.6862745098038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7-484E-8C40-012ADBAC2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720368"/>
        <c:axId val="196765184"/>
      </c:barChart>
      <c:catAx>
        <c:axId val="25372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765184"/>
        <c:crosses val="autoZero"/>
        <c:auto val="1"/>
        <c:lblAlgn val="ctr"/>
        <c:lblOffset val="100"/>
        <c:noMultiLvlLbl val="0"/>
      </c:catAx>
      <c:valAx>
        <c:axId val="19676518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72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12</xdr:row>
      <xdr:rowOff>25400</xdr:rowOff>
    </xdr:from>
    <xdr:to>
      <xdr:col>10</xdr:col>
      <xdr:colOff>527050</xdr:colOff>
      <xdr:row>27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6</xdr:row>
      <xdr:rowOff>76200</xdr:rowOff>
    </xdr:from>
    <xdr:to>
      <xdr:col>15</xdr:col>
      <xdr:colOff>736600</xdr:colOff>
      <xdr:row>24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266700</xdr:colOff>
      <xdr:row>8</xdr:row>
      <xdr:rowOff>88900</xdr:rowOff>
    </xdr:from>
    <xdr:to>
      <xdr:col>24</xdr:col>
      <xdr:colOff>215900</xdr:colOff>
      <xdr:row>24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146050</xdr:colOff>
      <xdr:row>4</xdr:row>
      <xdr:rowOff>190500</xdr:rowOff>
    </xdr:from>
    <xdr:to>
      <xdr:col>10</xdr:col>
      <xdr:colOff>514350</xdr:colOff>
      <xdr:row>21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65C309-7F2C-4201-8241-6EB3EB234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222250</xdr:colOff>
      <xdr:row>24</xdr:row>
      <xdr:rowOff>53975</xdr:rowOff>
    </xdr:from>
    <xdr:to>
      <xdr:col>9</xdr:col>
      <xdr:colOff>171450</xdr:colOff>
      <xdr:row>38</xdr:row>
      <xdr:rowOff>41275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99B77B-47CF-463B-97DB-E9B7DF61B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0"/>
  <sheetViews>
    <sheetView showRuler="0" topLeftCell="A11" zoomScale="125" zoomScaleNormal="125" zoomScalePageLayoutView="125" workbookViewId="0">
      <selection activeCell="O16" sqref="O16:P24"/>
    </sheetView>
  </sheetViews>
  <sheetFormatPr defaultColWidth="10.6640625" defaultRowHeight="15.5" x14ac:dyDescent="0.35"/>
  <cols>
    <col min="1" max="1" width="2.6640625" bestFit="1" customWidth="1"/>
    <col min="2" max="4" width="12" bestFit="1" customWidth="1"/>
    <col min="5" max="5" width="4.33203125" customWidth="1"/>
    <col min="6" max="7" width="10.83203125" bestFit="1" customWidth="1"/>
    <col min="8" max="8" width="11.83203125" customWidth="1"/>
    <col min="9" max="9" width="4.33203125" customWidth="1"/>
    <col min="10" max="10" width="16.33203125" customWidth="1"/>
    <col min="11" max="13" width="4.33203125" customWidth="1"/>
    <col min="14" max="14" width="3.5" customWidth="1"/>
    <col min="15" max="15" width="29.6640625" bestFit="1" customWidth="1"/>
    <col min="16" max="16" width="8.83203125" bestFit="1" customWidth="1"/>
    <col min="18" max="18" width="26" bestFit="1" customWidth="1"/>
    <col min="19" max="19" width="15.33203125" bestFit="1" customWidth="1"/>
  </cols>
  <sheetData>
    <row r="1" spans="1:24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3" t="s">
        <v>1</v>
      </c>
      <c r="P1" s="3" t="s">
        <v>72</v>
      </c>
      <c r="Q1" s="3" t="s">
        <v>73</v>
      </c>
      <c r="R1" s="46" t="s">
        <v>81</v>
      </c>
    </row>
    <row r="2" spans="1:24" x14ac:dyDescent="0.35">
      <c r="A2" s="4" t="s">
        <v>2</v>
      </c>
      <c r="B2" s="9" t="s">
        <v>110</v>
      </c>
      <c r="C2" s="9" t="s">
        <v>110</v>
      </c>
      <c r="D2" s="9" t="s">
        <v>110</v>
      </c>
      <c r="E2" s="6"/>
      <c r="F2" s="43" t="s">
        <v>109</v>
      </c>
      <c r="G2" s="43" t="s">
        <v>109</v>
      </c>
      <c r="H2" s="43" t="s">
        <v>109</v>
      </c>
      <c r="I2" s="5"/>
      <c r="J2" s="6" t="s">
        <v>67</v>
      </c>
      <c r="K2" s="6"/>
      <c r="L2" s="6"/>
      <c r="M2" s="6"/>
      <c r="O2" s="1" t="s">
        <v>94</v>
      </c>
      <c r="P2" s="7">
        <v>20000</v>
      </c>
      <c r="Q2" s="7">
        <v>20000</v>
      </c>
      <c r="R2" t="s">
        <v>97</v>
      </c>
    </row>
    <row r="3" spans="1:24" x14ac:dyDescent="0.35">
      <c r="A3" s="4" t="s">
        <v>4</v>
      </c>
      <c r="B3" s="8"/>
      <c r="C3" s="1"/>
      <c r="D3" s="9"/>
      <c r="E3" s="9"/>
      <c r="F3" s="9"/>
      <c r="G3" s="9"/>
      <c r="H3" s="9"/>
      <c r="I3" s="9"/>
      <c r="J3" s="9"/>
      <c r="K3" s="9"/>
      <c r="L3" s="10"/>
      <c r="M3" s="1"/>
      <c r="O3" s="1" t="s">
        <v>5</v>
      </c>
      <c r="P3" s="1">
        <v>0.2</v>
      </c>
      <c r="Q3" s="1">
        <v>0.2</v>
      </c>
      <c r="R3" t="s">
        <v>97</v>
      </c>
    </row>
    <row r="4" spans="1:24" x14ac:dyDescent="0.35">
      <c r="A4" s="4" t="s">
        <v>6</v>
      </c>
      <c r="B4" s="6"/>
      <c r="C4" s="6"/>
      <c r="D4" s="6"/>
      <c r="E4" s="9"/>
      <c r="F4" s="6"/>
      <c r="G4" s="6"/>
      <c r="H4" s="6"/>
      <c r="I4" s="9"/>
      <c r="J4" s="6"/>
      <c r="K4" s="6"/>
      <c r="L4" s="6"/>
      <c r="M4" s="1"/>
      <c r="O4" s="1" t="s">
        <v>7</v>
      </c>
      <c r="P4" s="7">
        <f>P2/P3</f>
        <v>100000</v>
      </c>
      <c r="Q4" s="7">
        <f>Q2/Q3</f>
        <v>100000</v>
      </c>
    </row>
    <row r="5" spans="1:24" ht="31" x14ac:dyDescent="0.35">
      <c r="A5" s="4" t="s">
        <v>8</v>
      </c>
      <c r="B5" s="43" t="s">
        <v>111</v>
      </c>
      <c r="C5" s="43" t="s">
        <v>111</v>
      </c>
      <c r="D5" s="43" t="s">
        <v>111</v>
      </c>
      <c r="E5" s="43"/>
      <c r="F5" s="43" t="s">
        <v>91</v>
      </c>
      <c r="G5" s="43" t="s">
        <v>91</v>
      </c>
      <c r="H5" s="43" t="s">
        <v>91</v>
      </c>
      <c r="I5" s="9"/>
      <c r="J5" s="6" t="s">
        <v>3</v>
      </c>
      <c r="K5" s="6"/>
      <c r="M5" s="1"/>
      <c r="O5" s="1" t="s">
        <v>9</v>
      </c>
      <c r="P5" s="1">
        <v>6</v>
      </c>
      <c r="Q5" s="1">
        <v>7</v>
      </c>
      <c r="R5" t="s">
        <v>97</v>
      </c>
    </row>
    <row r="6" spans="1:24" x14ac:dyDescent="0.35">
      <c r="A6" s="4" t="s">
        <v>10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  <c r="O6" s="1" t="s">
        <v>11</v>
      </c>
      <c r="P6" s="47">
        <v>185000</v>
      </c>
      <c r="Q6" s="7">
        <v>210000</v>
      </c>
    </row>
    <row r="7" spans="1:24" x14ac:dyDescent="0.35">
      <c r="A7" s="4" t="s">
        <v>12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  <c r="O7" s="1" t="s">
        <v>13</v>
      </c>
      <c r="P7" s="48">
        <v>3.24</v>
      </c>
      <c r="Q7" s="28">
        <v>3.5</v>
      </c>
      <c r="R7" s="14" t="s">
        <v>95</v>
      </c>
    </row>
    <row r="8" spans="1:24" x14ac:dyDescent="0.35">
      <c r="A8" s="4" t="s">
        <v>14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  <c r="O8" s="1" t="s">
        <v>15</v>
      </c>
      <c r="P8" s="48">
        <f>P5-P7</f>
        <v>2.76</v>
      </c>
      <c r="Q8" s="28">
        <f>Q5-Q7</f>
        <v>3.5</v>
      </c>
      <c r="V8" s="14"/>
      <c r="X8" s="14"/>
    </row>
    <row r="9" spans="1:24" x14ac:dyDescent="0.35">
      <c r="A9" s="4" t="s">
        <v>16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  <c r="O9" s="1" t="s">
        <v>17</v>
      </c>
      <c r="P9" s="47">
        <v>78400</v>
      </c>
      <c r="Q9" s="7">
        <v>92500</v>
      </c>
      <c r="R9" t="s">
        <v>96</v>
      </c>
    </row>
    <row r="10" spans="1:24" x14ac:dyDescent="0.35">
      <c r="H10" s="14"/>
      <c r="O10" s="1" t="s">
        <v>18</v>
      </c>
      <c r="P10" s="47">
        <f>P9*0.2</f>
        <v>15680</v>
      </c>
      <c r="Q10" s="7">
        <f>Q9*0.2</f>
        <v>18500</v>
      </c>
    </row>
    <row r="15" spans="1:24" x14ac:dyDescent="0.35">
      <c r="C15" s="15"/>
      <c r="O15" t="s">
        <v>100</v>
      </c>
      <c r="P15" t="s">
        <v>20</v>
      </c>
    </row>
    <row r="16" spans="1:24" ht="16" thickBot="1" x14ac:dyDescent="0.4">
      <c r="A16" s="1" t="s">
        <v>0</v>
      </c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>
        <v>6</v>
      </c>
      <c r="H16" s="2">
        <v>7</v>
      </c>
      <c r="I16" s="2">
        <v>8</v>
      </c>
      <c r="J16" s="2">
        <v>9</v>
      </c>
      <c r="K16" s="2">
        <v>10</v>
      </c>
      <c r="L16" s="2">
        <v>11</v>
      </c>
      <c r="M16" s="2">
        <v>12</v>
      </c>
      <c r="O16" s="3" t="s">
        <v>19</v>
      </c>
      <c r="P16" s="3" t="s">
        <v>72</v>
      </c>
      <c r="Q16" s="3" t="s">
        <v>73</v>
      </c>
      <c r="R16" s="46" t="s">
        <v>81</v>
      </c>
    </row>
    <row r="17" spans="1:18" x14ac:dyDescent="0.35">
      <c r="A17" s="4" t="s">
        <v>2</v>
      </c>
      <c r="B17" s="9" t="s">
        <v>110</v>
      </c>
      <c r="C17" s="9" t="s">
        <v>110</v>
      </c>
      <c r="D17" s="9" t="s">
        <v>110</v>
      </c>
      <c r="E17" s="6"/>
      <c r="F17" s="43" t="s">
        <v>109</v>
      </c>
      <c r="G17" s="43" t="s">
        <v>109</v>
      </c>
      <c r="H17" s="43" t="s">
        <v>109</v>
      </c>
      <c r="I17" s="5"/>
      <c r="J17" s="6" t="s">
        <v>67</v>
      </c>
      <c r="K17" s="6"/>
      <c r="L17" s="6"/>
      <c r="M17" s="6"/>
      <c r="O17" s="1" t="s">
        <v>21</v>
      </c>
      <c r="P17" s="17">
        <v>5</v>
      </c>
      <c r="Q17" s="17">
        <v>5</v>
      </c>
      <c r="R17" t="s">
        <v>97</v>
      </c>
    </row>
    <row r="18" spans="1:18" x14ac:dyDescent="0.35">
      <c r="A18" s="4" t="s">
        <v>4</v>
      </c>
      <c r="B18" s="8"/>
      <c r="C18" s="1"/>
      <c r="D18" s="9"/>
      <c r="E18" s="9"/>
      <c r="F18" s="9"/>
      <c r="G18" s="9"/>
      <c r="H18" s="9"/>
      <c r="I18" s="9"/>
      <c r="J18" s="9"/>
      <c r="K18" s="9"/>
      <c r="L18" s="10"/>
      <c r="M18" s="1"/>
      <c r="O18" s="1" t="s">
        <v>22</v>
      </c>
      <c r="P18" s="18">
        <f>P10</f>
        <v>15680</v>
      </c>
      <c r="Q18" s="18">
        <f>Q10</f>
        <v>18500</v>
      </c>
      <c r="R18" t="s">
        <v>98</v>
      </c>
    </row>
    <row r="19" spans="1:18" x14ac:dyDescent="0.35">
      <c r="A19" s="4" t="s">
        <v>6</v>
      </c>
      <c r="B19" s="6"/>
      <c r="C19" s="6"/>
      <c r="D19" s="6"/>
      <c r="E19" s="9"/>
      <c r="F19" s="6"/>
      <c r="G19" s="6"/>
      <c r="H19" s="6"/>
      <c r="I19" s="9"/>
      <c r="J19" s="6"/>
      <c r="K19" s="6"/>
      <c r="L19" s="6"/>
      <c r="M19" s="1"/>
      <c r="O19" s="1" t="s">
        <v>23</v>
      </c>
      <c r="P19" s="17">
        <v>0.05</v>
      </c>
      <c r="Q19" s="17">
        <v>0.05</v>
      </c>
      <c r="R19" t="s">
        <v>97</v>
      </c>
    </row>
    <row r="20" spans="1:18" ht="31" x14ac:dyDescent="0.35">
      <c r="A20" s="4" t="s">
        <v>8</v>
      </c>
      <c r="B20" s="43" t="s">
        <v>111</v>
      </c>
      <c r="C20" s="43" t="s">
        <v>111</v>
      </c>
      <c r="D20" s="43" t="s">
        <v>111</v>
      </c>
      <c r="E20" s="43"/>
      <c r="F20" s="43" t="s">
        <v>91</v>
      </c>
      <c r="G20" s="43" t="s">
        <v>91</v>
      </c>
      <c r="H20" s="43" t="s">
        <v>91</v>
      </c>
      <c r="I20" s="9"/>
      <c r="J20" s="6" t="s">
        <v>3</v>
      </c>
      <c r="K20" s="6"/>
      <c r="M20" s="1"/>
      <c r="O20" s="19" t="s">
        <v>24</v>
      </c>
      <c r="P20" s="18">
        <f>(P18*P17/P19)</f>
        <v>1568000</v>
      </c>
      <c r="Q20" s="18">
        <f>(Q18*Q17/Q19)</f>
        <v>1850000</v>
      </c>
    </row>
    <row r="21" spans="1:18" x14ac:dyDescent="0.35">
      <c r="A21" s="4" t="s">
        <v>10</v>
      </c>
      <c r="B21" s="8"/>
      <c r="C21" s="11"/>
      <c r="D21" s="9"/>
      <c r="E21" s="10"/>
      <c r="F21" s="9"/>
      <c r="G21" s="9"/>
      <c r="H21" s="9"/>
      <c r="I21" s="10"/>
      <c r="J21" s="10"/>
      <c r="K21" s="10"/>
      <c r="L21" s="10"/>
      <c r="M21" s="1"/>
      <c r="O21" s="1" t="s">
        <v>25</v>
      </c>
      <c r="P21" s="18">
        <v>5810000000</v>
      </c>
      <c r="Q21" s="18">
        <v>5810000000</v>
      </c>
      <c r="R21" t="s">
        <v>97</v>
      </c>
    </row>
    <row r="22" spans="1:18" x14ac:dyDescent="0.35">
      <c r="A22" s="4" t="s">
        <v>12</v>
      </c>
      <c r="B22" s="8"/>
      <c r="C22" s="10"/>
      <c r="D22" s="9"/>
      <c r="E22" s="10"/>
      <c r="F22" s="1"/>
      <c r="G22" s="10"/>
      <c r="H22" s="12"/>
      <c r="I22" s="10"/>
      <c r="J22" s="10"/>
      <c r="K22" s="10"/>
      <c r="L22" s="10"/>
      <c r="M22" s="1"/>
      <c r="O22" s="1" t="s">
        <v>26</v>
      </c>
      <c r="P22" s="20">
        <f>P20/P21</f>
        <v>2.6987951807228917E-4</v>
      </c>
      <c r="Q22" s="20">
        <f>Q20/Q21</f>
        <v>3.1841652323580036E-4</v>
      </c>
    </row>
    <row r="23" spans="1:18" x14ac:dyDescent="0.35">
      <c r="A23" s="4" t="s">
        <v>14</v>
      </c>
      <c r="B23" s="8"/>
      <c r="C23" s="11"/>
      <c r="D23" s="9"/>
      <c r="E23" s="9"/>
      <c r="F23" s="9"/>
      <c r="G23" s="9"/>
      <c r="H23" s="9"/>
      <c r="I23" s="1"/>
      <c r="J23" s="9"/>
      <c r="K23" s="9"/>
      <c r="L23" s="9"/>
      <c r="M23" s="9"/>
      <c r="O23" s="1" t="s">
        <v>27</v>
      </c>
      <c r="P23" s="49">
        <v>2.7E-2</v>
      </c>
      <c r="Q23" s="21">
        <v>0.03</v>
      </c>
      <c r="R23" t="s">
        <v>99</v>
      </c>
    </row>
    <row r="24" spans="1:18" x14ac:dyDescent="0.35">
      <c r="A24" s="4" t="s">
        <v>16</v>
      </c>
      <c r="B24" s="8"/>
      <c r="C24" s="11"/>
      <c r="D24" s="9"/>
      <c r="E24" s="1"/>
      <c r="F24" s="1"/>
      <c r="G24" s="1"/>
      <c r="H24" s="7"/>
      <c r="I24" s="1"/>
      <c r="J24" s="1"/>
      <c r="K24" s="1"/>
      <c r="L24" s="1"/>
      <c r="M24" s="1"/>
      <c r="O24" s="1" t="s">
        <v>28</v>
      </c>
      <c r="P24" s="50">
        <f>P23/100</f>
        <v>2.7E-4</v>
      </c>
      <c r="Q24" s="1">
        <f>Q23/100</f>
        <v>2.9999999999999997E-4</v>
      </c>
    </row>
    <row r="25" spans="1:18" x14ac:dyDescent="0.35">
      <c r="C25" s="15"/>
    </row>
    <row r="26" spans="1:18" x14ac:dyDescent="0.35">
      <c r="C26" s="15"/>
      <c r="G26" s="10">
        <v>1</v>
      </c>
      <c r="H26" s="9" t="s">
        <v>110</v>
      </c>
      <c r="P26" t="s">
        <v>0</v>
      </c>
    </row>
    <row r="27" spans="1:18" x14ac:dyDescent="0.35">
      <c r="G27" s="10">
        <v>2</v>
      </c>
      <c r="H27" s="43" t="s">
        <v>109</v>
      </c>
    </row>
    <row r="28" spans="1:18" ht="31" x14ac:dyDescent="0.35">
      <c r="G28" s="10">
        <v>3</v>
      </c>
      <c r="H28" s="43" t="s">
        <v>111</v>
      </c>
    </row>
    <row r="29" spans="1:18" x14ac:dyDescent="0.35">
      <c r="G29" s="10">
        <v>4</v>
      </c>
      <c r="H29" s="43" t="s">
        <v>91</v>
      </c>
      <c r="R29" s="14"/>
    </row>
    <row r="30" spans="1:18" x14ac:dyDescent="0.35">
      <c r="H30" s="45"/>
    </row>
  </sheetData>
  <phoneticPr fontId="4" type="noConversion"/>
  <pageMargins left="0.75" right="0.75" top="1" bottom="1" header="0.5" footer="0.5"/>
  <pageSetup scale="7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C9E9-999A-2442-A720-1488DBC0945B}">
  <dimension ref="A1:D9"/>
  <sheetViews>
    <sheetView workbookViewId="0">
      <selection activeCell="C10" sqref="C10"/>
    </sheetView>
  </sheetViews>
  <sheetFormatPr defaultColWidth="10.6640625" defaultRowHeight="15.5" x14ac:dyDescent="0.35"/>
  <cols>
    <col min="1" max="1" width="34.6640625" bestFit="1" customWidth="1"/>
    <col min="4" max="4" width="70.83203125" customWidth="1"/>
  </cols>
  <sheetData>
    <row r="1" spans="1:4" x14ac:dyDescent="0.35">
      <c r="B1" s="63" t="s">
        <v>75</v>
      </c>
      <c r="C1" s="63"/>
    </row>
    <row r="2" spans="1:4" x14ac:dyDescent="0.35">
      <c r="A2" s="22" t="s">
        <v>90</v>
      </c>
      <c r="B2" s="23" t="s">
        <v>77</v>
      </c>
      <c r="C2" s="23" t="s">
        <v>78</v>
      </c>
      <c r="D2" s="22" t="s">
        <v>81</v>
      </c>
    </row>
    <row r="3" spans="1:4" x14ac:dyDescent="0.35">
      <c r="A3" s="1" t="s">
        <v>76</v>
      </c>
      <c r="B3" s="17">
        <v>4</v>
      </c>
      <c r="C3" s="37"/>
      <c r="D3" s="1" t="s">
        <v>82</v>
      </c>
    </row>
    <row r="4" spans="1:4" x14ac:dyDescent="0.35">
      <c r="A4" s="1" t="s">
        <v>79</v>
      </c>
      <c r="B4" s="17">
        <v>0</v>
      </c>
      <c r="C4" s="37">
        <f>B3*2</f>
        <v>8</v>
      </c>
      <c r="D4" s="1" t="s">
        <v>83</v>
      </c>
    </row>
    <row r="5" spans="1:4" x14ac:dyDescent="0.35">
      <c r="A5" s="1" t="s">
        <v>80</v>
      </c>
      <c r="B5" s="17">
        <f>3*B3*2+2</f>
        <v>26</v>
      </c>
      <c r="C5" s="37"/>
      <c r="D5" s="1" t="s">
        <v>84</v>
      </c>
    </row>
    <row r="6" spans="1:4" ht="31" x14ac:dyDescent="0.35">
      <c r="A6" s="1" t="s">
        <v>85</v>
      </c>
      <c r="B6" s="17">
        <f>3*2*1+2</f>
        <v>8</v>
      </c>
      <c r="C6" s="37">
        <f>3*2*(B3-1)</f>
        <v>18</v>
      </c>
      <c r="D6" s="19" t="s">
        <v>93</v>
      </c>
    </row>
    <row r="7" spans="1:4" x14ac:dyDescent="0.35">
      <c r="A7" s="22" t="s">
        <v>86</v>
      </c>
      <c r="B7" s="32">
        <f>SUM(B3:B6)</f>
        <v>38</v>
      </c>
      <c r="C7" s="39">
        <f>SUM(C3:C6)</f>
        <v>26</v>
      </c>
      <c r="D7" s="1"/>
    </row>
    <row r="8" spans="1:4" x14ac:dyDescent="0.35">
      <c r="A8" s="1" t="s">
        <v>87</v>
      </c>
      <c r="B8" s="17">
        <f>B7/25</f>
        <v>1.52</v>
      </c>
      <c r="C8" s="37">
        <f>C7/20</f>
        <v>1.3</v>
      </c>
      <c r="D8" s="1" t="s">
        <v>89</v>
      </c>
    </row>
    <row r="9" spans="1:4" x14ac:dyDescent="0.35">
      <c r="A9" s="22" t="s">
        <v>88</v>
      </c>
      <c r="B9" s="32">
        <f>SUM(B8:C8)</f>
        <v>2.8200000000000003</v>
      </c>
      <c r="C9" s="38"/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1BB3C-F057-4DC1-A4BC-265ABDBB76EC}">
  <dimension ref="A1:M9"/>
  <sheetViews>
    <sheetView workbookViewId="0">
      <selection activeCell="C16" sqref="C16"/>
    </sheetView>
  </sheetViews>
  <sheetFormatPr defaultColWidth="8.83203125" defaultRowHeight="15.5" x14ac:dyDescent="0.35"/>
  <cols>
    <col min="2" max="2" width="13.5" customWidth="1"/>
    <col min="7" max="7" width="20.83203125" customWidth="1"/>
  </cols>
  <sheetData>
    <row r="1" spans="1:13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</row>
    <row r="2" spans="1:13" ht="31" x14ac:dyDescent="0.35">
      <c r="A2" s="4" t="s">
        <v>2</v>
      </c>
      <c r="B2" s="9" t="s">
        <v>92</v>
      </c>
      <c r="C2" s="9"/>
      <c r="D2" s="9"/>
      <c r="E2" s="6"/>
      <c r="F2" s="9"/>
      <c r="G2" s="9"/>
      <c r="H2" s="9"/>
      <c r="I2" s="5"/>
      <c r="J2" s="6"/>
      <c r="K2" s="6"/>
      <c r="L2" s="6"/>
      <c r="M2" s="6"/>
    </row>
    <row r="3" spans="1:13" x14ac:dyDescent="0.35">
      <c r="A3" s="4" t="s">
        <v>4</v>
      </c>
      <c r="B3" s="42" t="str">
        <f>"1:10 in PBS"</f>
        <v>1:10 in PBS</v>
      </c>
      <c r="C3" s="40"/>
      <c r="D3" s="41"/>
      <c r="E3" s="41"/>
      <c r="F3" s="9"/>
      <c r="G3" s="9"/>
      <c r="H3" s="9"/>
      <c r="I3" s="9"/>
      <c r="J3" s="9"/>
      <c r="K3" s="9"/>
      <c r="L3" s="10"/>
      <c r="M3" s="1"/>
    </row>
    <row r="4" spans="1:13" x14ac:dyDescent="0.35">
      <c r="A4" s="4" t="s">
        <v>6</v>
      </c>
      <c r="B4" s="42" t="str">
        <f>"1:100 in PBS"</f>
        <v>1:100 in PBS</v>
      </c>
      <c r="C4" s="42"/>
      <c r="D4" s="42"/>
      <c r="E4" s="41"/>
      <c r="F4" s="6"/>
      <c r="G4" s="6"/>
      <c r="H4" s="6"/>
      <c r="I4" s="9"/>
      <c r="J4" s="6"/>
      <c r="K4" s="6"/>
      <c r="L4" s="6"/>
      <c r="M4" s="1"/>
    </row>
    <row r="5" spans="1:13" x14ac:dyDescent="0.35">
      <c r="A5" s="4" t="s">
        <v>8</v>
      </c>
      <c r="B5" s="41" t="str">
        <f>"1:1000 in PBS"</f>
        <v>1:1000 in PBS</v>
      </c>
      <c r="C5" s="41"/>
      <c r="D5" s="41"/>
      <c r="E5" s="41"/>
      <c r="F5" s="6"/>
      <c r="G5" s="6"/>
      <c r="H5" s="6"/>
      <c r="I5" s="9"/>
      <c r="J5" s="6"/>
      <c r="K5" s="6"/>
      <c r="M5" s="1"/>
    </row>
    <row r="6" spans="1:13" x14ac:dyDescent="0.35">
      <c r="A6" s="4" t="s">
        <v>10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</row>
    <row r="7" spans="1:13" x14ac:dyDescent="0.35">
      <c r="A7" s="4" t="s">
        <v>12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</row>
    <row r="8" spans="1:13" x14ac:dyDescent="0.35">
      <c r="A8" s="4" t="s">
        <v>14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</row>
    <row r="9" spans="1:13" x14ac:dyDescent="0.35">
      <c r="A9" s="4" t="s">
        <v>16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7"/>
  <sheetViews>
    <sheetView showRuler="0" workbookViewId="0">
      <selection activeCell="M9" activeCellId="3" sqref="M3 M5 M7 M9"/>
    </sheetView>
  </sheetViews>
  <sheetFormatPr defaultColWidth="10.6640625" defaultRowHeight="15.5" x14ac:dyDescent="0.35"/>
  <cols>
    <col min="1" max="1" width="19.33203125" customWidth="1"/>
    <col min="2" max="2" width="9" bestFit="1" customWidth="1"/>
    <col min="3" max="3" width="8.6640625" customWidth="1"/>
    <col min="4" max="5" width="6" bestFit="1" customWidth="1"/>
    <col min="6" max="6" width="6.1640625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3" x14ac:dyDescent="0.35">
      <c r="A1" s="22" t="s">
        <v>29</v>
      </c>
      <c r="B1" s="23"/>
      <c r="C1" s="68"/>
      <c r="D1" s="68"/>
      <c r="E1" s="68"/>
      <c r="F1" s="68"/>
    </row>
    <row r="2" spans="1:13" ht="46.5" x14ac:dyDescent="0.35">
      <c r="A2" s="22"/>
      <c r="B2" s="24" t="s">
        <v>30</v>
      </c>
      <c r="C2" s="22">
        <v>1</v>
      </c>
      <c r="D2" s="22">
        <v>2</v>
      </c>
      <c r="E2" s="25">
        <v>3</v>
      </c>
      <c r="F2" s="22">
        <v>4</v>
      </c>
      <c r="G2" s="26" t="s">
        <v>31</v>
      </c>
      <c r="H2" s="26" t="s">
        <v>32</v>
      </c>
      <c r="I2" s="26" t="s">
        <v>33</v>
      </c>
      <c r="J2" s="26" t="s">
        <v>34</v>
      </c>
      <c r="K2" s="26" t="s">
        <v>46</v>
      </c>
      <c r="L2" s="26" t="s">
        <v>101</v>
      </c>
      <c r="M2" s="16" t="s">
        <v>74</v>
      </c>
    </row>
    <row r="3" spans="1:13" x14ac:dyDescent="0.35">
      <c r="A3" s="66" t="s">
        <v>110</v>
      </c>
      <c r="B3" s="27" t="s">
        <v>36</v>
      </c>
      <c r="C3" s="17"/>
      <c r="D3" s="17"/>
      <c r="E3" s="17">
        <v>96</v>
      </c>
      <c r="F3" s="17"/>
      <c r="G3" s="53">
        <v>0.01</v>
      </c>
      <c r="H3" s="54">
        <f>E3/(G3*0.01)</f>
        <v>960000</v>
      </c>
      <c r="I3" s="7">
        <f>AVERAGE(H3:H4)</f>
        <v>945000</v>
      </c>
      <c r="J3" s="7">
        <f>STDEV(H3:H4)</f>
        <v>21213.203435596424</v>
      </c>
      <c r="K3" s="7">
        <f>I3*0.05</f>
        <v>47250</v>
      </c>
      <c r="L3" s="7">
        <f>J3*0.05</f>
        <v>1060.6601717798212</v>
      </c>
      <c r="M3" s="51">
        <f>K3/16200</f>
        <v>2.9166666666666665</v>
      </c>
    </row>
    <row r="4" spans="1:13" x14ac:dyDescent="0.35">
      <c r="A4" s="67"/>
      <c r="B4" s="27" t="s">
        <v>38</v>
      </c>
      <c r="C4" s="17"/>
      <c r="D4" s="17"/>
      <c r="E4" s="17">
        <v>93</v>
      </c>
      <c r="F4" s="17"/>
      <c r="G4" s="53">
        <v>0.01</v>
      </c>
      <c r="H4" s="54">
        <f t="shared" ref="H4:H10" si="0">E4/(G4*0.01)</f>
        <v>930000</v>
      </c>
      <c r="I4" s="29"/>
      <c r="J4" s="29"/>
      <c r="K4" s="7"/>
      <c r="L4" s="7"/>
      <c r="M4" s="51"/>
    </row>
    <row r="5" spans="1:13" x14ac:dyDescent="0.35">
      <c r="A5" s="64" t="s">
        <v>109</v>
      </c>
      <c r="B5" s="27" t="s">
        <v>39</v>
      </c>
      <c r="C5" s="17"/>
      <c r="D5" s="17"/>
      <c r="E5" s="17">
        <v>70</v>
      </c>
      <c r="F5" s="17"/>
      <c r="G5" s="53">
        <v>0.01</v>
      </c>
      <c r="H5" s="54">
        <f t="shared" si="0"/>
        <v>700000</v>
      </c>
      <c r="I5" s="7">
        <f>AVERAGE(H5:H6)</f>
        <v>725000</v>
      </c>
      <c r="J5" s="7">
        <f>STDEV(H5:H6)</f>
        <v>35355.33905932738</v>
      </c>
      <c r="K5" s="7">
        <f>I5*0.05</f>
        <v>36250</v>
      </c>
      <c r="L5" s="7">
        <f>J5*0.05</f>
        <v>1767.766952966369</v>
      </c>
      <c r="M5" s="51">
        <f t="shared" ref="M5:M9" si="1">K5/16200</f>
        <v>2.2376543209876543</v>
      </c>
    </row>
    <row r="6" spans="1:13" x14ac:dyDescent="0.35">
      <c r="A6" s="65"/>
      <c r="B6" s="27" t="s">
        <v>40</v>
      </c>
      <c r="C6" s="17"/>
      <c r="D6" s="17"/>
      <c r="E6" s="17">
        <v>75</v>
      </c>
      <c r="F6" s="17"/>
      <c r="G6" s="53">
        <v>0.01</v>
      </c>
      <c r="H6" s="54">
        <f t="shared" si="0"/>
        <v>750000</v>
      </c>
      <c r="I6" s="29"/>
      <c r="J6" s="29"/>
      <c r="K6" s="7"/>
      <c r="L6" s="7"/>
      <c r="M6" s="51"/>
    </row>
    <row r="7" spans="1:13" x14ac:dyDescent="0.35">
      <c r="A7" s="64" t="s">
        <v>111</v>
      </c>
      <c r="B7" s="27" t="s">
        <v>41</v>
      </c>
      <c r="C7" s="17"/>
      <c r="D7" s="17"/>
      <c r="E7" s="17">
        <v>133</v>
      </c>
      <c r="F7" s="17"/>
      <c r="G7" s="53">
        <v>0.01</v>
      </c>
      <c r="H7" s="54">
        <f t="shared" si="0"/>
        <v>1330000</v>
      </c>
      <c r="I7" s="7">
        <f>AVERAGE(H7:H8)</f>
        <v>1210000</v>
      </c>
      <c r="J7" s="7">
        <f>STDEV(H7:H8)</f>
        <v>169705.62748477139</v>
      </c>
      <c r="K7" s="7">
        <f>I7*0.05</f>
        <v>60500</v>
      </c>
      <c r="L7" s="7">
        <f>J7*0.05</f>
        <v>8485.2813742385697</v>
      </c>
      <c r="M7" s="51">
        <f t="shared" si="1"/>
        <v>3.7345679012345681</v>
      </c>
    </row>
    <row r="8" spans="1:13" x14ac:dyDescent="0.35">
      <c r="A8" s="65"/>
      <c r="B8" s="27" t="s">
        <v>42</v>
      </c>
      <c r="C8" s="17"/>
      <c r="D8" s="17"/>
      <c r="E8" s="17">
        <v>109</v>
      </c>
      <c r="F8" s="17"/>
      <c r="G8" s="53">
        <v>0.01</v>
      </c>
      <c r="H8" s="54">
        <f t="shared" si="0"/>
        <v>1090000</v>
      </c>
      <c r="I8" s="29"/>
      <c r="J8" s="29"/>
      <c r="K8" s="7"/>
      <c r="L8" s="7"/>
      <c r="M8" s="51"/>
    </row>
    <row r="9" spans="1:13" ht="16" customHeight="1" x14ac:dyDescent="0.35">
      <c r="A9" s="66" t="s">
        <v>91</v>
      </c>
      <c r="B9" s="27" t="s">
        <v>43</v>
      </c>
      <c r="C9" s="17"/>
      <c r="D9" s="17"/>
      <c r="E9" s="17">
        <v>63</v>
      </c>
      <c r="F9" s="17"/>
      <c r="G9" s="53">
        <v>0.01</v>
      </c>
      <c r="H9" s="54">
        <f t="shared" si="0"/>
        <v>630000</v>
      </c>
      <c r="I9" s="7">
        <f>AVERAGE(H9:H10)</f>
        <v>620000</v>
      </c>
      <c r="J9" s="7">
        <f>STDEV(H9:H10)</f>
        <v>14142.13562373095</v>
      </c>
      <c r="K9" s="7">
        <f>I9*0.05</f>
        <v>31000</v>
      </c>
      <c r="L9" s="7">
        <f>J9*0.05</f>
        <v>707.10678118654755</v>
      </c>
      <c r="M9" s="51">
        <f t="shared" si="1"/>
        <v>1.9135802469135803</v>
      </c>
    </row>
    <row r="10" spans="1:13" x14ac:dyDescent="0.35">
      <c r="A10" s="67"/>
      <c r="B10" s="27" t="s">
        <v>44</v>
      </c>
      <c r="C10" s="17"/>
      <c r="D10" s="17"/>
      <c r="E10" s="17">
        <v>61</v>
      </c>
      <c r="F10" s="17"/>
      <c r="G10" s="53">
        <v>0.01</v>
      </c>
      <c r="H10" s="54">
        <f t="shared" si="0"/>
        <v>610000</v>
      </c>
      <c r="I10" s="29"/>
      <c r="J10" s="29"/>
      <c r="K10" s="7"/>
      <c r="L10" s="7"/>
      <c r="M10" s="28"/>
    </row>
    <row r="11" spans="1:13" x14ac:dyDescent="0.35">
      <c r="A11" s="1" t="s">
        <v>45</v>
      </c>
      <c r="B11" s="1"/>
      <c r="C11" s="1">
        <v>1</v>
      </c>
      <c r="D11" s="1">
        <f>C11/10</f>
        <v>0.1</v>
      </c>
      <c r="E11" s="1">
        <f>D11/10</f>
        <v>0.01</v>
      </c>
      <c r="F11" s="1">
        <f>E11/10</f>
        <v>1E-3</v>
      </c>
    </row>
    <row r="13" spans="1:13" x14ac:dyDescent="0.35">
      <c r="A13" s="1"/>
      <c r="B13" s="1" t="s">
        <v>46</v>
      </c>
      <c r="C13" s="1" t="s">
        <v>34</v>
      </c>
      <c r="L13" s="9"/>
    </row>
    <row r="14" spans="1:13" x14ac:dyDescent="0.35">
      <c r="A14" s="9" t="s">
        <v>110</v>
      </c>
      <c r="B14" s="7">
        <f>K3</f>
        <v>47250</v>
      </c>
      <c r="C14" s="7">
        <f>L3</f>
        <v>1060.6601717798212</v>
      </c>
      <c r="L14" s="43"/>
    </row>
    <row r="15" spans="1:13" x14ac:dyDescent="0.35">
      <c r="A15" s="43" t="s">
        <v>109</v>
      </c>
      <c r="B15" s="7">
        <f>K5</f>
        <v>36250</v>
      </c>
      <c r="C15" s="7">
        <f>L5</f>
        <v>1767.766952966369</v>
      </c>
      <c r="L15" s="43"/>
    </row>
    <row r="16" spans="1:13" x14ac:dyDescent="0.35">
      <c r="A16" s="43" t="s">
        <v>111</v>
      </c>
      <c r="B16" s="7">
        <f>K7</f>
        <v>60500</v>
      </c>
      <c r="C16" s="7">
        <f>L7</f>
        <v>8485.2813742385697</v>
      </c>
      <c r="L16" s="44"/>
    </row>
    <row r="17" spans="1:3" x14ac:dyDescent="0.35">
      <c r="A17" s="43" t="s">
        <v>91</v>
      </c>
      <c r="B17" s="7">
        <f>K9</f>
        <v>31000</v>
      </c>
      <c r="C17" s="7">
        <f>L9</f>
        <v>707.10678118654755</v>
      </c>
    </row>
  </sheetData>
  <mergeCells count="5">
    <mergeCell ref="A5:A6"/>
    <mergeCell ref="A3:A4"/>
    <mergeCell ref="A7:A8"/>
    <mergeCell ref="A9:A10"/>
    <mergeCell ref="C1:F1"/>
  </mergeCells>
  <phoneticPr fontId="4" type="noConversion"/>
  <pageMargins left="0.75" right="0.75" top="1" bottom="1" header="0.5" footer="0.5"/>
  <pageSetup scale="60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8"/>
  <sheetViews>
    <sheetView showRuler="0" workbookViewId="0">
      <selection activeCell="G3" sqref="G3:G11"/>
    </sheetView>
  </sheetViews>
  <sheetFormatPr defaultColWidth="10.6640625" defaultRowHeight="15.5" x14ac:dyDescent="0.35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7.83203125" bestFit="1" customWidth="1"/>
    <col min="7" max="7" width="8.83203125" bestFit="1" customWidth="1"/>
    <col min="8" max="8" width="8.1640625" customWidth="1"/>
    <col min="10" max="10" width="17" customWidth="1"/>
    <col min="11" max="12" width="8.83203125" bestFit="1" customWidth="1"/>
    <col min="13" max="13" width="7.6640625" bestFit="1" customWidth="1"/>
    <col min="14" max="14" width="6" bestFit="1" customWidth="1"/>
    <col min="15" max="15" width="7.33203125" bestFit="1" customWidth="1"/>
  </cols>
  <sheetData>
    <row r="1" spans="1:25" x14ac:dyDescent="0.35">
      <c r="A1" s="3"/>
      <c r="B1" s="3"/>
      <c r="E1" s="3"/>
      <c r="F1" s="3"/>
      <c r="G1" s="23"/>
      <c r="H1" s="23"/>
      <c r="I1" s="23"/>
      <c r="J1" s="30"/>
      <c r="K1" s="30"/>
      <c r="L1" s="31"/>
      <c r="M1" s="31"/>
    </row>
    <row r="2" spans="1:25" ht="46.5" x14ac:dyDescent="0.35">
      <c r="A2" s="22"/>
      <c r="B2" s="34" t="s">
        <v>47</v>
      </c>
      <c r="C2" s="34" t="s">
        <v>48</v>
      </c>
      <c r="D2" s="34" t="s">
        <v>49</v>
      </c>
      <c r="E2" s="16" t="s">
        <v>31</v>
      </c>
      <c r="F2" s="16" t="s">
        <v>50</v>
      </c>
      <c r="G2" s="16" t="s">
        <v>35</v>
      </c>
      <c r="H2" s="16" t="s">
        <v>59</v>
      </c>
      <c r="J2" s="1"/>
      <c r="K2" s="26" t="s">
        <v>51</v>
      </c>
      <c r="L2" s="22" t="s">
        <v>52</v>
      </c>
      <c r="M2" s="55" t="s">
        <v>53</v>
      </c>
      <c r="N2" s="34" t="s">
        <v>59</v>
      </c>
      <c r="O2" s="16" t="s">
        <v>60</v>
      </c>
    </row>
    <row r="3" spans="1:25" x14ac:dyDescent="0.35">
      <c r="A3" s="69" t="s">
        <v>110</v>
      </c>
      <c r="B3" s="10" t="s">
        <v>36</v>
      </c>
      <c r="C3" s="56">
        <v>19</v>
      </c>
      <c r="D3" s="56">
        <v>7</v>
      </c>
      <c r="E3" s="17">
        <v>1</v>
      </c>
      <c r="F3" s="29">
        <f t="shared" ref="F3:F13" si="0">AVERAGE(C3,D3)</f>
        <v>13</v>
      </c>
      <c r="G3" s="7">
        <f t="shared" ref="G3:G12" si="1">(F3/(0.05*E3))*0.2</f>
        <v>52</v>
      </c>
      <c r="H3" s="71">
        <f>TTEST(G3:G5,G3:G5,2,2)</f>
        <v>1</v>
      </c>
      <c r="I3" s="14"/>
      <c r="J3" s="9" t="s">
        <v>110</v>
      </c>
      <c r="K3" s="7">
        <f>AVERAGE(G3:G5)</f>
        <v>32.666666666666664</v>
      </c>
      <c r="L3" s="7">
        <f>STDEV(G3:G5)</f>
        <v>17.009801096230763</v>
      </c>
      <c r="M3" s="51">
        <v>2.9166666666666665</v>
      </c>
      <c r="N3" s="21"/>
      <c r="O3" s="13">
        <f>IF(K3/$K$3&gt;=1,K3/$K$3,-$K$3/K3)</f>
        <v>1</v>
      </c>
      <c r="R3" s="14"/>
      <c r="T3" s="14"/>
      <c r="U3" s="14"/>
      <c r="V3" s="14"/>
      <c r="W3" s="14"/>
      <c r="X3" s="14"/>
      <c r="Y3" s="14"/>
    </row>
    <row r="4" spans="1:25" x14ac:dyDescent="0.35">
      <c r="A4" s="69"/>
      <c r="B4" s="10" t="s">
        <v>38</v>
      </c>
      <c r="C4" s="56">
        <v>10</v>
      </c>
      <c r="D4" s="56">
        <v>0</v>
      </c>
      <c r="E4" s="17">
        <v>1</v>
      </c>
      <c r="F4" s="29">
        <f t="shared" si="0"/>
        <v>5</v>
      </c>
      <c r="G4" s="7">
        <f t="shared" si="1"/>
        <v>20</v>
      </c>
      <c r="H4" s="71"/>
      <c r="J4" s="43" t="s">
        <v>109</v>
      </c>
      <c r="K4" s="7">
        <f>AVERAGE(G6:G8)</f>
        <v>14.666666666666666</v>
      </c>
      <c r="L4" s="7">
        <f>STDEV(G6:G8)</f>
        <v>8.0829037686547593</v>
      </c>
      <c r="M4" s="51">
        <v>2.2376543209876543</v>
      </c>
      <c r="N4" s="21">
        <f>TTEST(G3:G5,G6:G8,2,2)</f>
        <v>0.17316988343297821</v>
      </c>
      <c r="O4" s="13">
        <f>IF(K4/$K$3&gt;=1,K4/$K$3,-$K$3/K4)</f>
        <v>-2.2272727272727271</v>
      </c>
    </row>
    <row r="5" spans="1:25" ht="31" x14ac:dyDescent="0.35">
      <c r="A5" s="69"/>
      <c r="B5" s="10" t="s">
        <v>61</v>
      </c>
      <c r="C5" s="56">
        <v>9</v>
      </c>
      <c r="D5" s="56">
        <v>4</v>
      </c>
      <c r="E5" s="17">
        <v>1</v>
      </c>
      <c r="F5" s="29">
        <f t="shared" si="0"/>
        <v>6.5</v>
      </c>
      <c r="G5" s="7">
        <f t="shared" si="1"/>
        <v>26</v>
      </c>
      <c r="H5" s="71"/>
      <c r="J5" s="43" t="s">
        <v>111</v>
      </c>
      <c r="K5" s="7">
        <f>AVERAGE(G10:G11)</f>
        <v>17</v>
      </c>
      <c r="L5" s="7">
        <f>STDEV(G10:G11)</f>
        <v>4.2426406871192848</v>
      </c>
      <c r="M5" s="51">
        <v>3.7345679012345681</v>
      </c>
      <c r="N5" s="21">
        <f>TTEST(G3:G5,G10:G11,2,2)</f>
        <v>0.3106354702559907</v>
      </c>
      <c r="O5" s="13">
        <f>IF(K5/$K$3&gt;=1,K5/$K$3,-$K$3/K5)</f>
        <v>-1.9215686274509802</v>
      </c>
    </row>
    <row r="6" spans="1:25" ht="15" customHeight="1" x14ac:dyDescent="0.35">
      <c r="A6" s="70" t="s">
        <v>109</v>
      </c>
      <c r="B6" s="10" t="s">
        <v>39</v>
      </c>
      <c r="C6" s="56">
        <v>9</v>
      </c>
      <c r="D6" s="56">
        <v>2</v>
      </c>
      <c r="E6" s="17">
        <v>1</v>
      </c>
      <c r="F6" s="1">
        <f t="shared" si="0"/>
        <v>5.5</v>
      </c>
      <c r="G6" s="7">
        <f t="shared" si="1"/>
        <v>22</v>
      </c>
      <c r="H6" s="71">
        <f>TTEST(G6:G8,G3:G5,2,2)</f>
        <v>0.17316988343297821</v>
      </c>
      <c r="J6" s="43" t="s">
        <v>91</v>
      </c>
      <c r="K6" s="7">
        <f>AVERAGE(G12:G13)</f>
        <v>24</v>
      </c>
      <c r="L6" s="7">
        <f>STDEV(G12:G13)</f>
        <v>14.142135623730951</v>
      </c>
      <c r="M6" s="51">
        <v>1.9135802469135803</v>
      </c>
      <c r="N6" s="21">
        <f>TTEST(G3:G5,G12:G13,2,2)</f>
        <v>0.59710266926964861</v>
      </c>
      <c r="O6" s="13">
        <f>IF(K6/$K$3&gt;=1,K6/$K$3,-$K$3/K6)</f>
        <v>-1.3611111111111109</v>
      </c>
    </row>
    <row r="7" spans="1:25" ht="15" customHeight="1" x14ac:dyDescent="0.35">
      <c r="A7" s="70"/>
      <c r="B7" s="10" t="s">
        <v>40</v>
      </c>
      <c r="C7" s="56">
        <v>1</v>
      </c>
      <c r="D7" s="56">
        <v>7</v>
      </c>
      <c r="E7" s="17">
        <v>1</v>
      </c>
      <c r="F7" s="1">
        <f t="shared" si="0"/>
        <v>4</v>
      </c>
      <c r="G7" s="7">
        <f t="shared" si="1"/>
        <v>16</v>
      </c>
      <c r="H7" s="71"/>
    </row>
    <row r="8" spans="1:25" x14ac:dyDescent="0.35">
      <c r="A8" s="70"/>
      <c r="B8" s="10" t="s">
        <v>64</v>
      </c>
      <c r="C8" s="56">
        <v>1</v>
      </c>
      <c r="D8" s="56">
        <v>2</v>
      </c>
      <c r="E8" s="17">
        <v>1</v>
      </c>
      <c r="F8" s="1">
        <f t="shared" si="0"/>
        <v>1.5</v>
      </c>
      <c r="G8" s="7">
        <f t="shared" si="1"/>
        <v>6</v>
      </c>
      <c r="H8" s="71"/>
    </row>
    <row r="9" spans="1:25" ht="15" customHeight="1" x14ac:dyDescent="0.35">
      <c r="A9" s="70" t="s">
        <v>111</v>
      </c>
      <c r="B9" s="10" t="s">
        <v>41</v>
      </c>
      <c r="C9" s="56">
        <v>9</v>
      </c>
      <c r="D9" s="56">
        <v>11</v>
      </c>
      <c r="E9" s="17">
        <v>1</v>
      </c>
      <c r="F9" s="1">
        <f t="shared" si="0"/>
        <v>10</v>
      </c>
      <c r="G9" s="7">
        <f t="shared" si="1"/>
        <v>40</v>
      </c>
      <c r="H9" s="71">
        <f>TTEST(G9:G11,G3:G5,2,2)</f>
        <v>0.55934672163666344</v>
      </c>
      <c r="J9" s="14"/>
    </row>
    <row r="10" spans="1:25" x14ac:dyDescent="0.35">
      <c r="A10" s="70"/>
      <c r="B10" s="10" t="s">
        <v>42</v>
      </c>
      <c r="C10" s="56">
        <v>0</v>
      </c>
      <c r="D10" s="56">
        <v>7</v>
      </c>
      <c r="E10" s="17">
        <v>1</v>
      </c>
      <c r="F10" s="1">
        <f t="shared" si="0"/>
        <v>3.5</v>
      </c>
      <c r="G10" s="7">
        <f t="shared" si="1"/>
        <v>14</v>
      </c>
      <c r="H10" s="71"/>
    </row>
    <row r="11" spans="1:25" ht="15" customHeight="1" x14ac:dyDescent="0.35">
      <c r="A11" s="70"/>
      <c r="B11" s="10" t="s">
        <v>62</v>
      </c>
      <c r="C11" s="56">
        <v>6</v>
      </c>
      <c r="D11" s="56">
        <v>4</v>
      </c>
      <c r="E11" s="17">
        <v>1</v>
      </c>
      <c r="F11" s="1">
        <f t="shared" si="0"/>
        <v>5</v>
      </c>
      <c r="G11" s="7">
        <f t="shared" si="1"/>
        <v>20</v>
      </c>
      <c r="H11" s="71"/>
    </row>
    <row r="12" spans="1:25" x14ac:dyDescent="0.35">
      <c r="A12" s="70" t="s">
        <v>91</v>
      </c>
      <c r="B12" s="10" t="s">
        <v>43</v>
      </c>
      <c r="C12" s="56">
        <v>9</v>
      </c>
      <c r="D12" s="56">
        <v>8</v>
      </c>
      <c r="E12" s="17">
        <v>1</v>
      </c>
      <c r="F12" s="1">
        <f t="shared" si="0"/>
        <v>8.5</v>
      </c>
      <c r="G12" s="7">
        <f t="shared" si="1"/>
        <v>34</v>
      </c>
      <c r="H12" s="71">
        <f>TTEST(G12:G13,G3:G5,2,2)</f>
        <v>0.59710266926964861</v>
      </c>
    </row>
    <row r="13" spans="1:25" ht="15" customHeight="1" x14ac:dyDescent="0.35">
      <c r="A13" s="70"/>
      <c r="B13" s="10" t="s">
        <v>44</v>
      </c>
      <c r="C13" s="56">
        <v>5</v>
      </c>
      <c r="D13" s="56">
        <v>2</v>
      </c>
      <c r="E13" s="17">
        <v>1</v>
      </c>
      <c r="F13" s="1">
        <f t="shared" si="0"/>
        <v>3.5</v>
      </c>
      <c r="G13" s="7">
        <f>(F13/(0.05*E13))*0.2</f>
        <v>14</v>
      </c>
      <c r="H13" s="71"/>
    </row>
    <row r="14" spans="1:25" x14ac:dyDescent="0.35">
      <c r="A14" s="70"/>
      <c r="B14" s="10" t="s">
        <v>63</v>
      </c>
      <c r="C14" s="56"/>
      <c r="D14" s="56"/>
      <c r="E14" s="17">
        <v>1</v>
      </c>
      <c r="F14" s="1"/>
      <c r="G14" s="7"/>
      <c r="H14" s="71"/>
    </row>
    <row r="15" spans="1:25" x14ac:dyDescent="0.35">
      <c r="A15" s="33" t="s">
        <v>70</v>
      </c>
      <c r="B15" s="10"/>
      <c r="C15" s="17"/>
      <c r="D15" s="17">
        <v>0</v>
      </c>
      <c r="E15" s="17">
        <v>1</v>
      </c>
      <c r="F15" s="1" t="s">
        <v>37</v>
      </c>
      <c r="G15" s="7" t="s">
        <v>37</v>
      </c>
    </row>
    <row r="16" spans="1:25" x14ac:dyDescent="0.35">
      <c r="A16" s="33" t="s">
        <v>71</v>
      </c>
      <c r="B16" s="10"/>
      <c r="C16" s="17"/>
      <c r="D16" s="17">
        <v>0</v>
      </c>
      <c r="E16" s="17">
        <v>1</v>
      </c>
      <c r="F16" s="1" t="s">
        <v>37</v>
      </c>
      <c r="G16" s="7" t="s">
        <v>37</v>
      </c>
      <c r="H16" s="14"/>
    </row>
    <row r="17" spans="1:8" x14ac:dyDescent="0.35">
      <c r="A17" s="36" t="s">
        <v>54</v>
      </c>
      <c r="H17" s="14"/>
    </row>
    <row r="18" spans="1:8" x14ac:dyDescent="0.35">
      <c r="A18" s="36" t="s">
        <v>55</v>
      </c>
    </row>
  </sheetData>
  <mergeCells count="8">
    <mergeCell ref="A3:A5"/>
    <mergeCell ref="A6:A8"/>
    <mergeCell ref="A9:A11"/>
    <mergeCell ref="A12:A14"/>
    <mergeCell ref="H6:H8"/>
    <mergeCell ref="H9:H11"/>
    <mergeCell ref="H12:H14"/>
    <mergeCell ref="H3:H5"/>
  </mergeCells>
  <phoneticPr fontId="4" type="noConversion"/>
  <pageMargins left="0.75" right="0.75" top="1" bottom="1" header="0.5" footer="0.5"/>
  <pageSetup scale="56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26"/>
  <sheetViews>
    <sheetView tabSelected="1" showRuler="0" topLeftCell="K1" workbookViewId="0">
      <selection activeCell="U6" sqref="U6"/>
    </sheetView>
  </sheetViews>
  <sheetFormatPr defaultColWidth="10.6640625" defaultRowHeight="15.5" x14ac:dyDescent="0.35"/>
  <cols>
    <col min="1" max="1" width="20.33203125" bestFit="1" customWidth="1"/>
    <col min="2" max="2" width="5.5" bestFit="1" customWidth="1"/>
    <col min="3" max="5" width="6" bestFit="1" customWidth="1"/>
    <col min="6" max="6" width="6" customWidth="1"/>
    <col min="7" max="9" width="6" bestFit="1" customWidth="1"/>
    <col min="10" max="10" width="6" customWidth="1"/>
    <col min="11" max="11" width="8.1640625" bestFit="1" customWidth="1"/>
    <col min="12" max="12" width="7.83203125" bestFit="1" customWidth="1"/>
    <col min="13" max="13" width="8.83203125" bestFit="1" customWidth="1"/>
    <col min="14" max="14" width="2.1640625" customWidth="1"/>
    <col min="15" max="15" width="17" bestFit="1" customWidth="1"/>
    <col min="16" max="17" width="8.83203125" bestFit="1" customWidth="1"/>
    <col min="18" max="18" width="7.6640625" bestFit="1" customWidth="1"/>
    <col min="19" max="19" width="7.1640625" bestFit="1" customWidth="1"/>
    <col min="20" max="20" width="8.5" bestFit="1" customWidth="1"/>
  </cols>
  <sheetData>
    <row r="1" spans="1:22" x14ac:dyDescent="0.35">
      <c r="A1" s="3" t="s">
        <v>0</v>
      </c>
      <c r="B1" s="3"/>
      <c r="C1" s="63" t="s">
        <v>56</v>
      </c>
      <c r="D1" s="63"/>
      <c r="E1" s="63"/>
      <c r="F1" s="58"/>
      <c r="G1" s="63" t="s">
        <v>57</v>
      </c>
      <c r="H1" s="63"/>
      <c r="I1" s="63"/>
      <c r="J1" s="23"/>
    </row>
    <row r="2" spans="1:22" ht="46.5" x14ac:dyDescent="0.35">
      <c r="A2" s="22"/>
      <c r="B2" s="22" t="s">
        <v>47</v>
      </c>
      <c r="C2" s="22">
        <v>1</v>
      </c>
      <c r="D2" s="22">
        <v>2</v>
      </c>
      <c r="E2" s="25">
        <v>3</v>
      </c>
      <c r="F2" s="25">
        <v>4</v>
      </c>
      <c r="G2" s="22">
        <v>1</v>
      </c>
      <c r="H2" s="22">
        <v>2</v>
      </c>
      <c r="I2" s="25">
        <v>3</v>
      </c>
      <c r="J2" s="25">
        <v>4</v>
      </c>
      <c r="K2" s="55" t="s">
        <v>31</v>
      </c>
      <c r="L2" s="55" t="s">
        <v>50</v>
      </c>
      <c r="M2" s="26" t="s">
        <v>35</v>
      </c>
      <c r="N2" s="35"/>
      <c r="O2" s="1"/>
      <c r="P2" s="26" t="s">
        <v>51</v>
      </c>
      <c r="Q2" s="22" t="s">
        <v>52</v>
      </c>
      <c r="R2" s="55" t="s">
        <v>53</v>
      </c>
      <c r="S2" s="16" t="s">
        <v>69</v>
      </c>
      <c r="T2" s="16" t="s">
        <v>60</v>
      </c>
      <c r="U2" t="s">
        <v>122</v>
      </c>
    </row>
    <row r="3" spans="1:22" x14ac:dyDescent="0.35">
      <c r="A3" s="69" t="s">
        <v>110</v>
      </c>
      <c r="B3" s="10" t="s">
        <v>36</v>
      </c>
      <c r="C3" s="17"/>
      <c r="D3" s="17">
        <v>43</v>
      </c>
      <c r="E3" s="32"/>
      <c r="F3" s="32"/>
      <c r="G3" s="17"/>
      <c r="H3" s="17">
        <v>35</v>
      </c>
      <c r="I3" s="32"/>
      <c r="J3" s="32"/>
      <c r="K3" s="53">
        <v>0.1</v>
      </c>
      <c r="L3" s="52">
        <f>AVERAGE(D3,H3)</f>
        <v>39</v>
      </c>
      <c r="M3" s="7">
        <f t="shared" ref="M3:M8" si="0">(L3/(0.01*K3))*0.2</f>
        <v>7800</v>
      </c>
      <c r="N3" s="14"/>
      <c r="O3" s="9" t="s">
        <v>110</v>
      </c>
      <c r="P3" s="7">
        <f>AVERAGE(M3:M5)</f>
        <v>11800</v>
      </c>
      <c r="Q3" s="7">
        <f>STDEV(M3:M5)</f>
        <v>5838.6642307980001</v>
      </c>
      <c r="R3" s="51">
        <v>2.9166666666666665</v>
      </c>
      <c r="S3" s="1"/>
      <c r="T3" s="13">
        <f>IF(P3/$P$3&gt;=1,P3/$P$3,-$P$3/P3)</f>
        <v>1</v>
      </c>
      <c r="V3" t="s">
        <v>103</v>
      </c>
    </row>
    <row r="4" spans="1:22" x14ac:dyDescent="0.35">
      <c r="A4" s="69"/>
      <c r="B4" s="10" t="s">
        <v>38</v>
      </c>
      <c r="C4" s="17"/>
      <c r="D4" s="17">
        <v>102</v>
      </c>
      <c r="E4" s="32"/>
      <c r="F4" s="32"/>
      <c r="G4" s="17"/>
      <c r="H4" s="17">
        <v>83</v>
      </c>
      <c r="I4" s="32"/>
      <c r="J4" s="32"/>
      <c r="K4" s="53">
        <v>0.1</v>
      </c>
      <c r="L4" s="52">
        <f>AVERAGE(D4,H4)</f>
        <v>92.5</v>
      </c>
      <c r="M4" s="7">
        <f t="shared" si="0"/>
        <v>18500</v>
      </c>
      <c r="N4" s="14"/>
      <c r="O4" s="43" t="s">
        <v>109</v>
      </c>
      <c r="P4" s="7">
        <f>AVERAGE(M6:M8)</f>
        <v>756.66666666666663</v>
      </c>
      <c r="Q4" s="7">
        <f>STDEV(M6:M8)</f>
        <v>597.02037932832195</v>
      </c>
      <c r="R4" s="51">
        <v>2.2376543209876543</v>
      </c>
      <c r="S4" s="21">
        <f>TTEST(M3:M5,M6:M8,2,2)</f>
        <v>3.1109208757214638E-2</v>
      </c>
      <c r="T4" s="13">
        <f>IF(P4/$P$3&gt;=1,P4/$P$3,-$P$3/P4)</f>
        <v>-15.594713656387666</v>
      </c>
      <c r="V4" t="s">
        <v>104</v>
      </c>
    </row>
    <row r="5" spans="1:22" x14ac:dyDescent="0.35">
      <c r="A5" s="69"/>
      <c r="B5" s="10" t="s">
        <v>61</v>
      </c>
      <c r="C5" s="53"/>
      <c r="D5" s="53">
        <v>45</v>
      </c>
      <c r="E5" s="56"/>
      <c r="F5" s="56"/>
      <c r="G5" s="53"/>
      <c r="H5" s="53">
        <v>46</v>
      </c>
      <c r="I5" s="56"/>
      <c r="J5" s="56"/>
      <c r="K5" s="53">
        <v>0.1</v>
      </c>
      <c r="L5" s="52">
        <f>AVERAGE(D5,H5)</f>
        <v>45.5</v>
      </c>
      <c r="M5" s="7">
        <f t="shared" si="0"/>
        <v>9100</v>
      </c>
      <c r="N5" s="14"/>
      <c r="O5" s="43" t="s">
        <v>112</v>
      </c>
      <c r="P5" s="7">
        <f>AVERAGE(M9:M11)</f>
        <v>37666.666666666664</v>
      </c>
      <c r="Q5" s="7">
        <f>STDEV(M9:M11)</f>
        <v>24027.761721253464</v>
      </c>
      <c r="R5" s="51">
        <v>3.7345679012345681</v>
      </c>
      <c r="S5" s="21">
        <f>TTEST(M3:M5,M9:M11,2,2)</f>
        <v>0.14423124263772552</v>
      </c>
      <c r="T5" s="13">
        <f>IF(P5/$P$3&gt;=1,P5/$P$3,-$P$3/P5)</f>
        <v>3.1920903954802258</v>
      </c>
      <c r="U5">
        <f>TTEST(M9:M11,M6:M8,2,2)</f>
        <v>5.6399110490111655E-2</v>
      </c>
    </row>
    <row r="6" spans="1:22" x14ac:dyDescent="0.35">
      <c r="A6" s="70" t="s">
        <v>109</v>
      </c>
      <c r="B6" s="10" t="s">
        <v>39</v>
      </c>
      <c r="C6" s="53">
        <v>43</v>
      </c>
      <c r="D6" s="53"/>
      <c r="E6" s="56"/>
      <c r="F6" s="56"/>
      <c r="G6" s="53">
        <v>27</v>
      </c>
      <c r="H6" s="53"/>
      <c r="I6" s="56"/>
      <c r="J6" s="56"/>
      <c r="K6" s="53">
        <v>1</v>
      </c>
      <c r="L6" s="52">
        <f>AVERAGE(C6,G6)</f>
        <v>35</v>
      </c>
      <c r="M6" s="7">
        <f t="shared" si="0"/>
        <v>700</v>
      </c>
      <c r="N6" s="14"/>
      <c r="O6" s="43" t="s">
        <v>91</v>
      </c>
      <c r="P6" s="7">
        <f>AVERAGE(M12:M14)</f>
        <v>0</v>
      </c>
      <c r="Q6" s="7">
        <f>STDEV(M12:M14)</f>
        <v>0</v>
      </c>
      <c r="R6" s="51">
        <v>1.9135802469135803</v>
      </c>
      <c r="S6" s="21">
        <f>TTEST(M3:M5,M12:M14,2,2)</f>
        <v>2.4885065453667449E-2</v>
      </c>
      <c r="T6" s="13" t="e">
        <f>IF(P6/$P$3&gt;=1,P6/$P$3,-$P$3/P6)</f>
        <v>#DIV/0!</v>
      </c>
      <c r="V6" s="14"/>
    </row>
    <row r="7" spans="1:22" ht="15" customHeight="1" x14ac:dyDescent="0.35">
      <c r="A7" s="70"/>
      <c r="B7" s="10" t="s">
        <v>40</v>
      </c>
      <c r="C7" s="53">
        <v>19</v>
      </c>
      <c r="D7" s="53"/>
      <c r="E7" s="56"/>
      <c r="F7" s="56"/>
      <c r="G7" s="53">
        <v>0</v>
      </c>
      <c r="H7" s="53"/>
      <c r="I7" s="56"/>
      <c r="J7" s="56"/>
      <c r="K7" s="53">
        <v>1</v>
      </c>
      <c r="L7" s="52">
        <f t="shared" ref="L7:L8" si="1">AVERAGE(C7,G7)</f>
        <v>9.5</v>
      </c>
      <c r="M7" s="7">
        <f t="shared" si="0"/>
        <v>190</v>
      </c>
      <c r="N7" s="14"/>
    </row>
    <row r="8" spans="1:22" ht="15" customHeight="1" x14ac:dyDescent="0.35">
      <c r="A8" s="70"/>
      <c r="B8" s="10" t="s">
        <v>64</v>
      </c>
      <c r="C8" s="53">
        <v>68</v>
      </c>
      <c r="D8" s="53"/>
      <c r="E8" s="56"/>
      <c r="F8" s="56"/>
      <c r="G8" s="53">
        <v>70</v>
      </c>
      <c r="H8" s="53"/>
      <c r="I8" s="56"/>
      <c r="J8" s="56"/>
      <c r="K8" s="53">
        <v>1</v>
      </c>
      <c r="L8" s="52">
        <f t="shared" si="1"/>
        <v>69</v>
      </c>
      <c r="M8" s="7">
        <f t="shared" si="0"/>
        <v>1380</v>
      </c>
      <c r="N8" s="14"/>
    </row>
    <row r="9" spans="1:22" ht="15" customHeight="1" x14ac:dyDescent="0.35">
      <c r="A9" s="70" t="s">
        <v>111</v>
      </c>
      <c r="B9" s="10" t="s">
        <v>41</v>
      </c>
      <c r="C9" s="53"/>
      <c r="D9" s="56"/>
      <c r="E9" s="53">
        <v>32</v>
      </c>
      <c r="F9" s="53"/>
      <c r="G9" s="57"/>
      <c r="H9" s="56"/>
      <c r="I9" s="53">
        <v>29</v>
      </c>
      <c r="J9" s="53"/>
      <c r="K9" s="53">
        <v>0.01</v>
      </c>
      <c r="L9" s="50">
        <f>AVERAGE(E9,I9)</f>
        <v>30.5</v>
      </c>
      <c r="M9" s="7">
        <f t="shared" ref="M9:M11" si="2">(L9/(0.01*K9))*0.2</f>
        <v>61000</v>
      </c>
      <c r="N9" s="14"/>
    </row>
    <row r="10" spans="1:22" x14ac:dyDescent="0.35">
      <c r="A10" s="70"/>
      <c r="B10" s="10" t="s">
        <v>42</v>
      </c>
      <c r="C10" s="53"/>
      <c r="D10" s="56">
        <v>85</v>
      </c>
      <c r="E10" s="53"/>
      <c r="F10" s="53"/>
      <c r="G10" s="53"/>
      <c r="H10" s="56">
        <v>45</v>
      </c>
      <c r="I10" s="53"/>
      <c r="J10" s="53"/>
      <c r="K10" s="53">
        <v>0.1</v>
      </c>
      <c r="L10" s="50">
        <f t="shared" ref="L10" si="3">AVERAGE(D10,H10)</f>
        <v>65</v>
      </c>
      <c r="M10" s="7">
        <f t="shared" si="2"/>
        <v>13000</v>
      </c>
      <c r="N10" s="14"/>
    </row>
    <row r="11" spans="1:22" ht="15" customHeight="1" x14ac:dyDescent="0.35">
      <c r="A11" s="70"/>
      <c r="B11" s="10" t="s">
        <v>62</v>
      </c>
      <c r="C11" s="53"/>
      <c r="D11" s="56"/>
      <c r="E11" s="53">
        <v>18</v>
      </c>
      <c r="F11" s="53"/>
      <c r="G11" s="53"/>
      <c r="H11" s="56"/>
      <c r="I11" s="53">
        <v>21</v>
      </c>
      <c r="J11" s="53"/>
      <c r="K11" s="53">
        <v>0.01</v>
      </c>
      <c r="L11" s="50">
        <f>AVERAGE(E11,I11)</f>
        <v>19.5</v>
      </c>
      <c r="M11" s="7">
        <f t="shared" si="2"/>
        <v>39000</v>
      </c>
      <c r="N11" s="14"/>
    </row>
    <row r="12" spans="1:22" ht="16" customHeight="1" x14ac:dyDescent="0.35">
      <c r="A12" s="70" t="s">
        <v>91</v>
      </c>
      <c r="B12" s="10" t="s">
        <v>43</v>
      </c>
      <c r="C12" s="59">
        <v>0</v>
      </c>
      <c r="D12" s="59"/>
      <c r="E12" s="59"/>
      <c r="F12" s="59"/>
      <c r="G12" s="57">
        <v>0</v>
      </c>
      <c r="H12" s="53"/>
      <c r="I12" s="56"/>
      <c r="J12" s="56"/>
      <c r="K12" s="53">
        <v>1</v>
      </c>
      <c r="L12" s="50">
        <f>AVERAGE(C12,G12)</f>
        <v>0</v>
      </c>
      <c r="M12" s="7">
        <f>(L12/(0.05*K12))*0.2</f>
        <v>0</v>
      </c>
      <c r="N12" s="14"/>
    </row>
    <row r="13" spans="1:22" ht="15" customHeight="1" x14ac:dyDescent="0.35">
      <c r="A13" s="70"/>
      <c r="B13" s="10" t="s">
        <v>44</v>
      </c>
      <c r="C13" s="59">
        <v>0</v>
      </c>
      <c r="D13" s="59"/>
      <c r="E13" s="59"/>
      <c r="F13" s="59"/>
      <c r="G13" s="59">
        <v>0</v>
      </c>
      <c r="H13" s="53"/>
      <c r="I13" s="56"/>
      <c r="J13" s="56"/>
      <c r="K13" s="53">
        <v>1</v>
      </c>
      <c r="L13" s="50">
        <f t="shared" ref="L13:L14" si="4">AVERAGE(C13,G13)</f>
        <v>0</v>
      </c>
      <c r="M13" s="7">
        <f>(L13/(0.05*K13))*0.2</f>
        <v>0</v>
      </c>
      <c r="N13" s="14"/>
    </row>
    <row r="14" spans="1:22" x14ac:dyDescent="0.35">
      <c r="A14" s="70"/>
      <c r="B14" s="10" t="s">
        <v>63</v>
      </c>
      <c r="C14" s="59">
        <v>0</v>
      </c>
      <c r="D14" s="59"/>
      <c r="E14" s="59"/>
      <c r="F14" s="59"/>
      <c r="G14" s="59">
        <v>0</v>
      </c>
      <c r="H14" s="56"/>
      <c r="I14" s="56"/>
      <c r="J14" s="56"/>
      <c r="K14" s="53">
        <v>1</v>
      </c>
      <c r="L14" s="50">
        <f t="shared" si="4"/>
        <v>0</v>
      </c>
      <c r="M14" s="7">
        <f>(L14/(0.05*K14))*0.2</f>
        <v>0</v>
      </c>
      <c r="N14" s="14"/>
    </row>
    <row r="15" spans="1:22" x14ac:dyDescent="0.35">
      <c r="A15" s="33" t="s">
        <v>65</v>
      </c>
      <c r="B15" s="10"/>
      <c r="C15" s="53">
        <v>0</v>
      </c>
      <c r="D15" s="53" t="s">
        <v>37</v>
      </c>
      <c r="E15" s="53" t="s">
        <v>37</v>
      </c>
      <c r="F15" s="53"/>
      <c r="G15" s="53" t="s">
        <v>37</v>
      </c>
      <c r="H15" s="53" t="s">
        <v>37</v>
      </c>
      <c r="I15" s="53" t="s">
        <v>37</v>
      </c>
      <c r="J15" s="53"/>
      <c r="K15" s="53">
        <v>1</v>
      </c>
      <c r="L15" s="29">
        <v>0</v>
      </c>
      <c r="M15" s="7">
        <f>(L15/(0.1*K15))*0.2</f>
        <v>0</v>
      </c>
      <c r="N15" s="14"/>
    </row>
    <row r="16" spans="1:22" x14ac:dyDescent="0.35">
      <c r="A16" s="33" t="s">
        <v>66</v>
      </c>
      <c r="B16" s="10"/>
      <c r="C16" s="53">
        <v>0</v>
      </c>
      <c r="D16" s="53" t="s">
        <v>37</v>
      </c>
      <c r="E16" s="53" t="s">
        <v>37</v>
      </c>
      <c r="F16" s="53"/>
      <c r="G16" s="53" t="s">
        <v>37</v>
      </c>
      <c r="H16" s="53" t="s">
        <v>37</v>
      </c>
      <c r="I16" s="53" t="s">
        <v>37</v>
      </c>
      <c r="J16" s="53"/>
      <c r="K16" s="53">
        <v>1</v>
      </c>
      <c r="L16" s="29">
        <f>AVERAGE(C16)</f>
        <v>0</v>
      </c>
      <c r="M16" s="7">
        <f>(L16/(0.1*K16))*0.2</f>
        <v>0</v>
      </c>
      <c r="N16" s="14"/>
    </row>
    <row r="17" spans="1:14" x14ac:dyDescent="0.35">
      <c r="A17" s="1" t="s">
        <v>45</v>
      </c>
      <c r="B17" s="1"/>
      <c r="C17" s="1">
        <v>1</v>
      </c>
      <c r="D17" s="1">
        <f>C17/10</f>
        <v>0.1</v>
      </c>
      <c r="E17" s="1">
        <f>D17/10</f>
        <v>0.01</v>
      </c>
      <c r="F17" s="1">
        <v>1E-3</v>
      </c>
      <c r="G17" s="1">
        <v>1</v>
      </c>
      <c r="H17" s="1">
        <f>G17/10</f>
        <v>0.1</v>
      </c>
      <c r="I17" s="1">
        <f>H17/10</f>
        <v>0.01</v>
      </c>
      <c r="J17">
        <v>1E-3</v>
      </c>
      <c r="M17" s="14"/>
      <c r="N17" s="14"/>
    </row>
    <row r="18" spans="1:14" x14ac:dyDescent="0.35">
      <c r="A18" s="72" t="s">
        <v>68</v>
      </c>
      <c r="B18" s="72"/>
      <c r="C18" s="72"/>
    </row>
    <row r="19" spans="1:14" x14ac:dyDescent="0.35">
      <c r="A19" s="72" t="s">
        <v>58</v>
      </c>
      <c r="B19" s="72"/>
      <c r="C19" s="72"/>
      <c r="D19" s="36"/>
    </row>
    <row r="20" spans="1:14" x14ac:dyDescent="0.35">
      <c r="A20" t="s">
        <v>102</v>
      </c>
    </row>
    <row r="25" spans="1:14" x14ac:dyDescent="0.35">
      <c r="I25" s="14"/>
      <c r="J25" s="14"/>
    </row>
    <row r="26" spans="1:14" x14ac:dyDescent="0.35">
      <c r="I26" s="14"/>
      <c r="J26" s="14"/>
    </row>
  </sheetData>
  <mergeCells count="8">
    <mergeCell ref="A19:C19"/>
    <mergeCell ref="A18:C18"/>
    <mergeCell ref="A12:A14"/>
    <mergeCell ref="C1:E1"/>
    <mergeCell ref="G1:I1"/>
    <mergeCell ref="A3:A5"/>
    <mergeCell ref="A6:A8"/>
    <mergeCell ref="A9:A11"/>
  </mergeCells>
  <phoneticPr fontId="4" type="noConversion"/>
  <pageMargins left="0.75" right="0.75" top="1" bottom="1" header="0.5" footer="0.5"/>
  <pageSetup scale="46"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95CCF-29FA-4C39-81E5-A0F80E7A05AE}">
  <dimension ref="A1:K4"/>
  <sheetViews>
    <sheetView workbookViewId="0">
      <selection activeCell="M5" sqref="M5"/>
    </sheetView>
  </sheetViews>
  <sheetFormatPr defaultColWidth="8.83203125" defaultRowHeight="15.5" x14ac:dyDescent="0.35"/>
  <cols>
    <col min="1" max="1" width="17.5" customWidth="1"/>
    <col min="7" max="7" width="8.58203125" customWidth="1"/>
    <col min="8" max="8" width="4" hidden="1" customWidth="1"/>
    <col min="9" max="9" width="15.9140625" customWidth="1"/>
  </cols>
  <sheetData>
    <row r="1" spans="1:11" x14ac:dyDescent="0.35">
      <c r="B1" t="s">
        <v>105</v>
      </c>
      <c r="C1" t="s">
        <v>52</v>
      </c>
      <c r="D1" t="s">
        <v>106</v>
      </c>
      <c r="E1" t="s">
        <v>52</v>
      </c>
      <c r="F1" t="s">
        <v>107</v>
      </c>
      <c r="G1" t="s">
        <v>121</v>
      </c>
      <c r="J1" t="s">
        <v>113</v>
      </c>
      <c r="K1" t="s">
        <v>108</v>
      </c>
    </row>
    <row r="2" spans="1:11" x14ac:dyDescent="0.35">
      <c r="A2" s="9" t="s">
        <v>110</v>
      </c>
      <c r="B2">
        <v>32.666666666666664</v>
      </c>
      <c r="C2">
        <v>17.009801096230763</v>
      </c>
      <c r="D2">
        <v>11800</v>
      </c>
      <c r="E2" s="7">
        <v>5838.6642307980001</v>
      </c>
      <c r="F2">
        <f>D2/B2</f>
        <v>361.22448979591837</v>
      </c>
      <c r="G2" s="14">
        <f>F2*SQRT((E2/D2)^2+(C2/B2)^2)</f>
        <v>259.47036927645581</v>
      </c>
      <c r="I2" s="9" t="s">
        <v>110</v>
      </c>
      <c r="J2">
        <f>(22*60)/(3.3*LOG(D2/B2))</f>
        <v>156.38578768208535</v>
      </c>
      <c r="K2">
        <v>131.53910174270109</v>
      </c>
    </row>
    <row r="3" spans="1:11" x14ac:dyDescent="0.35">
      <c r="A3" s="43" t="s">
        <v>109</v>
      </c>
      <c r="B3">
        <v>14.666666666666666</v>
      </c>
      <c r="C3">
        <v>8.0829037686547593</v>
      </c>
      <c r="D3">
        <v>756.66666666666663</v>
      </c>
      <c r="E3">
        <v>597.02037932832195</v>
      </c>
      <c r="F3">
        <f t="shared" ref="F3:F4" si="0">D3/B3</f>
        <v>51.590909090909093</v>
      </c>
      <c r="G3" s="14">
        <f t="shared" ref="G3:G4" si="1">F3*SQRT((E3/D3)^2+(C3/B3)^2)</f>
        <v>49.652374611793249</v>
      </c>
      <c r="I3" s="43" t="s">
        <v>109</v>
      </c>
      <c r="J3">
        <f t="shared" ref="J3:J4" si="2">(22*60)/(3.3*LOG(D3/B3))</f>
        <v>233.56666127101414</v>
      </c>
      <c r="K3">
        <v>169.16242275907913</v>
      </c>
    </row>
    <row r="4" spans="1:11" ht="31" x14ac:dyDescent="0.35">
      <c r="A4" s="43" t="s">
        <v>114</v>
      </c>
      <c r="B4">
        <v>17</v>
      </c>
      <c r="C4">
        <v>4.2426406871192848</v>
      </c>
      <c r="D4">
        <v>37666.666666666664</v>
      </c>
      <c r="E4">
        <v>24027.761721253464</v>
      </c>
      <c r="F4">
        <f t="shared" si="0"/>
        <v>2215.6862745098038</v>
      </c>
      <c r="G4" s="14">
        <f t="shared" si="1"/>
        <v>1517.7155882159479</v>
      </c>
      <c r="I4" s="43" t="s">
        <v>114</v>
      </c>
      <c r="J4">
        <f t="shared" si="2"/>
        <v>119.56329742165016</v>
      </c>
      <c r="K4">
        <v>147.09615156322471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5A364-5BAE-4E67-8561-83B917418CBC}">
  <dimension ref="A1:H13"/>
  <sheetViews>
    <sheetView workbookViewId="0">
      <selection activeCell="I15" sqref="I15"/>
    </sheetView>
  </sheetViews>
  <sheetFormatPr defaultRowHeight="15.5" x14ac:dyDescent="0.35"/>
  <cols>
    <col min="6" max="6" width="13.75" customWidth="1"/>
  </cols>
  <sheetData>
    <row r="1" spans="1:8" ht="31" x14ac:dyDescent="0.35">
      <c r="B1" s="7" t="s">
        <v>115</v>
      </c>
      <c r="C1" t="s">
        <v>116</v>
      </c>
      <c r="D1" t="s">
        <v>107</v>
      </c>
      <c r="G1" s="60" t="s">
        <v>117</v>
      </c>
      <c r="H1" s="60" t="s">
        <v>118</v>
      </c>
    </row>
    <row r="2" spans="1:8" x14ac:dyDescent="0.35">
      <c r="A2" s="73" t="s">
        <v>110</v>
      </c>
      <c r="B2" s="7">
        <v>52</v>
      </c>
      <c r="C2">
        <v>7800</v>
      </c>
      <c r="D2" s="14">
        <f>C2/B2</f>
        <v>150</v>
      </c>
      <c r="E2" s="14">
        <f>AVERAGE(D2:D4)</f>
        <v>475</v>
      </c>
      <c r="F2" s="10" t="s">
        <v>110</v>
      </c>
    </row>
    <row r="3" spans="1:8" x14ac:dyDescent="0.35">
      <c r="A3" s="73"/>
      <c r="B3" s="7">
        <v>20</v>
      </c>
      <c r="C3">
        <v>18500</v>
      </c>
      <c r="D3" s="14">
        <f t="shared" ref="D3:D10" si="0">C3/B3</f>
        <v>925</v>
      </c>
      <c r="F3" s="61" t="s">
        <v>109</v>
      </c>
      <c r="G3">
        <f>TTEST(D2:D4,D5:D7,2,2)</f>
        <v>0.18868729323355996</v>
      </c>
    </row>
    <row r="4" spans="1:8" x14ac:dyDescent="0.35">
      <c r="A4" s="73"/>
      <c r="B4" s="7">
        <v>26</v>
      </c>
      <c r="C4">
        <v>9100</v>
      </c>
      <c r="D4" s="14">
        <f t="shared" si="0"/>
        <v>350</v>
      </c>
      <c r="F4" s="61" t="s">
        <v>119</v>
      </c>
      <c r="G4">
        <f>TTEST(D2:D4,D8:D10,2,2)</f>
        <v>5.7737653407882381E-2</v>
      </c>
      <c r="H4" s="62">
        <f>TTEST(D5:D7,D8:D10,2,2)</f>
        <v>1.0628190895302906E-2</v>
      </c>
    </row>
    <row r="5" spans="1:8" x14ac:dyDescent="0.35">
      <c r="A5" s="74" t="s">
        <v>109</v>
      </c>
      <c r="B5" s="7">
        <v>22</v>
      </c>
      <c r="C5">
        <v>700</v>
      </c>
      <c r="D5" s="14">
        <f t="shared" si="0"/>
        <v>31.818181818181817</v>
      </c>
      <c r="E5" s="14">
        <f>AVERAGE(D5:D7)</f>
        <v>91.231060606060609</v>
      </c>
      <c r="F5" s="61"/>
    </row>
    <row r="6" spans="1:8" x14ac:dyDescent="0.35">
      <c r="A6" s="74"/>
      <c r="B6" s="7">
        <v>16</v>
      </c>
      <c r="C6">
        <v>190</v>
      </c>
      <c r="D6" s="14">
        <f t="shared" si="0"/>
        <v>11.875</v>
      </c>
    </row>
    <row r="7" spans="1:8" x14ac:dyDescent="0.35">
      <c r="A7" s="74"/>
      <c r="B7" s="7">
        <v>6</v>
      </c>
      <c r="C7">
        <v>1380</v>
      </c>
      <c r="D7" s="14">
        <f t="shared" si="0"/>
        <v>230</v>
      </c>
    </row>
    <row r="8" spans="1:8" x14ac:dyDescent="0.35">
      <c r="A8" s="74" t="s">
        <v>120</v>
      </c>
      <c r="B8" s="7">
        <v>40</v>
      </c>
      <c r="C8">
        <v>61000</v>
      </c>
      <c r="D8" s="14">
        <f t="shared" si="0"/>
        <v>1525</v>
      </c>
      <c r="E8" s="14">
        <f>AVERAGE(D8:D10)</f>
        <v>1467.8571428571429</v>
      </c>
    </row>
    <row r="9" spans="1:8" x14ac:dyDescent="0.35">
      <c r="A9" s="74"/>
      <c r="B9" s="7">
        <v>14</v>
      </c>
      <c r="C9">
        <v>13000</v>
      </c>
      <c r="D9" s="14">
        <f t="shared" si="0"/>
        <v>928.57142857142856</v>
      </c>
    </row>
    <row r="10" spans="1:8" x14ac:dyDescent="0.35">
      <c r="A10" s="74"/>
      <c r="B10" s="7">
        <v>20</v>
      </c>
      <c r="C10">
        <v>39000</v>
      </c>
      <c r="D10" s="14">
        <f t="shared" si="0"/>
        <v>1950</v>
      </c>
    </row>
    <row r="11" spans="1:8" x14ac:dyDescent="0.35">
      <c r="A11" s="74"/>
      <c r="B11" s="7"/>
      <c r="D11" s="14"/>
    </row>
    <row r="12" spans="1:8" x14ac:dyDescent="0.35">
      <c r="A12" s="74"/>
      <c r="B12" s="7"/>
      <c r="D12" s="14"/>
    </row>
    <row r="13" spans="1:8" x14ac:dyDescent="0.35">
      <c r="A13" s="74"/>
      <c r="D13" s="14"/>
    </row>
  </sheetData>
  <mergeCells count="4">
    <mergeCell ref="A2:A4"/>
    <mergeCell ref="A5:A7"/>
    <mergeCell ref="A8:A10"/>
    <mergeCell ref="A11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ExperimentalSetup</vt:lpstr>
      <vt:lpstr>Plate Needs</vt:lpstr>
      <vt:lpstr>Inoculum Setup</vt:lpstr>
      <vt:lpstr>Inoculum</vt:lpstr>
      <vt:lpstr>T=2</vt:lpstr>
      <vt:lpstr>T=24</vt:lpstr>
      <vt:lpstr>2 vs 24</vt:lpstr>
      <vt:lpstr>Fold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Hannah Trautmann</cp:lastModifiedBy>
  <cp:lastPrinted>2019-03-13T17:50:00Z</cp:lastPrinted>
  <dcterms:created xsi:type="dcterms:W3CDTF">2016-02-15T21:32:37Z</dcterms:created>
  <dcterms:modified xsi:type="dcterms:W3CDTF">2020-07-28T15:49:59Z</dcterms:modified>
</cp:coreProperties>
</file>