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026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G:\Shared drives\KRamsey Lab\Hannah Trautmann\Data\Macrophage assays\"/>
    </mc:Choice>
  </mc:AlternateContent>
  <xr:revisionPtr revIDLastSave="0" documentId="13_ncr:1_{B0472A5D-460A-4F71-9CA7-52EFD62FC106}" xr6:coauthVersionLast="45" xr6:coauthVersionMax="45" xr10:uidLastSave="{00000000-0000-0000-0000-000000000000}"/>
  <bookViews>
    <workbookView xWindow="-110" yWindow="-110" windowWidth="19420" windowHeight="11020" tabRatio="500" firstSheet="2" activeTab="7" xr2:uid="{00000000-000D-0000-FFFF-FFFF00000000}"/>
  </bookViews>
  <sheets>
    <sheet name="ExperimentalSetup" sheetId="1" r:id="rId1"/>
    <sheet name="Plate Needs" sheetId="5" r:id="rId2"/>
    <sheet name="Inoculum Setup" sheetId="6" r:id="rId3"/>
    <sheet name="Inoculum" sheetId="2" r:id="rId4"/>
    <sheet name="T=2" sheetId="4" r:id="rId5"/>
    <sheet name="T=24" sheetId="3" r:id="rId6"/>
    <sheet name="2 vs 24" sheetId="7" r:id="rId7"/>
    <sheet name="2 vs 24 (2)" sheetId="9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M14" i="3" l="1"/>
  <c r="M13" i="3"/>
  <c r="M12" i="3"/>
  <c r="J3" i="9" l="1"/>
  <c r="F3" i="9"/>
  <c r="J2" i="9"/>
  <c r="F2" i="9"/>
  <c r="J2" i="7" l="1"/>
  <c r="J4" i="7"/>
  <c r="J5" i="7"/>
  <c r="F3" i="7" l="1"/>
  <c r="F4" i="7"/>
  <c r="F5" i="7"/>
  <c r="F2" i="7"/>
  <c r="L13" i="3" l="1"/>
  <c r="L14" i="3"/>
  <c r="L12" i="3"/>
  <c r="L3" i="3" l="1"/>
  <c r="L10" i="3"/>
  <c r="L11" i="3"/>
  <c r="L9" i="3"/>
  <c r="L5" i="3"/>
  <c r="L4" i="3"/>
  <c r="H5" i="2" l="1"/>
  <c r="B6" i="5" l="1"/>
  <c r="C6" i="5"/>
  <c r="B5" i="5"/>
  <c r="C4" i="5"/>
  <c r="B5" i="6" l="1"/>
  <c r="B4" i="6"/>
  <c r="B3" i="6"/>
  <c r="L7" i="3" l="1"/>
  <c r="M7" i="3" s="1"/>
  <c r="L8" i="3"/>
  <c r="M8" i="3" s="1"/>
  <c r="L6" i="3"/>
  <c r="M6" i="3" s="1"/>
  <c r="M3" i="3" l="1"/>
  <c r="C7" i="5" l="1"/>
  <c r="C8" i="5" s="1"/>
  <c r="B7" i="5"/>
  <c r="B8" i="5" s="1"/>
  <c r="H3" i="2"/>
  <c r="Q8" i="1"/>
  <c r="Q24" i="1"/>
  <c r="Q10" i="1"/>
  <c r="Q18" i="1" s="1"/>
  <c r="Q20" i="1" s="1"/>
  <c r="Q22" i="1" s="1"/>
  <c r="Q4" i="1"/>
  <c r="B9" i="5" l="1"/>
  <c r="P8" i="1"/>
  <c r="P10" i="1"/>
  <c r="P18" i="1" s="1"/>
  <c r="P20" i="1" s="1"/>
  <c r="P22" i="1" s="1"/>
  <c r="F3" i="4"/>
  <c r="G3" i="4" s="1"/>
  <c r="F4" i="4"/>
  <c r="G4" i="4" s="1"/>
  <c r="F5" i="4"/>
  <c r="G5" i="4" s="1"/>
  <c r="F6" i="4"/>
  <c r="G6" i="4" s="1"/>
  <c r="F7" i="4"/>
  <c r="G7" i="4" s="1"/>
  <c r="F8" i="4"/>
  <c r="G8" i="4" s="1"/>
  <c r="M10" i="3"/>
  <c r="M11" i="3"/>
  <c r="M9" i="3"/>
  <c r="H9" i="2"/>
  <c r="H10" i="2"/>
  <c r="H7" i="2"/>
  <c r="H8" i="2"/>
  <c r="H6" i="2"/>
  <c r="H4" i="2"/>
  <c r="J3" i="2" s="1"/>
  <c r="L3" i="2" s="1"/>
  <c r="C14" i="2" s="1"/>
  <c r="P4" i="1"/>
  <c r="M4" i="3"/>
  <c r="M5" i="3"/>
  <c r="F13" i="4"/>
  <c r="G13" i="4" s="1"/>
  <c r="M15" i="3"/>
  <c r="L16" i="3"/>
  <c r="M16" i="3" s="1"/>
  <c r="D17" i="3"/>
  <c r="E17" i="3" s="1"/>
  <c r="F10" i="4"/>
  <c r="G10" i="4" s="1"/>
  <c r="F11" i="4"/>
  <c r="G11" i="4" s="1"/>
  <c r="F12" i="4"/>
  <c r="G12" i="4" s="1"/>
  <c r="F14" i="4"/>
  <c r="G14" i="4" s="1"/>
  <c r="F9" i="4"/>
  <c r="G9" i="4" s="1"/>
  <c r="D11" i="2"/>
  <c r="E11" i="2" s="1"/>
  <c r="F11" i="2" s="1"/>
  <c r="H17" i="3"/>
  <c r="I17" i="3" s="1"/>
  <c r="N4" i="4" l="1"/>
  <c r="K4" i="4"/>
  <c r="I5" i="2"/>
  <c r="K5" i="2" s="1"/>
  <c r="M5" i="2" s="1"/>
  <c r="Q5" i="3"/>
  <c r="P5" i="3"/>
  <c r="K6" i="4"/>
  <c r="J5" i="2"/>
  <c r="L5" i="2" s="1"/>
  <c r="C15" i="2" s="1"/>
  <c r="P4" i="3"/>
  <c r="I7" i="2"/>
  <c r="K7" i="2" s="1"/>
  <c r="M7" i="2" s="1"/>
  <c r="I9" i="2"/>
  <c r="K9" i="2" s="1"/>
  <c r="M9" i="2" s="1"/>
  <c r="I3" i="2"/>
  <c r="K3" i="2" s="1"/>
  <c r="M3" i="2" s="1"/>
  <c r="J7" i="2"/>
  <c r="L7" i="2" s="1"/>
  <c r="C16" i="2" s="1"/>
  <c r="L4" i="4"/>
  <c r="K5" i="4"/>
  <c r="L5" i="4"/>
  <c r="P6" i="3"/>
  <c r="Q6" i="3"/>
  <c r="S6" i="3"/>
  <c r="Q3" i="3"/>
  <c r="P3" i="3"/>
  <c r="T3" i="3" s="1"/>
  <c r="S4" i="3"/>
  <c r="S5" i="3"/>
  <c r="H6" i="4"/>
  <c r="H3" i="4"/>
  <c r="K3" i="4"/>
  <c r="O3" i="4" s="1"/>
  <c r="N6" i="4"/>
  <c r="H9" i="4"/>
  <c r="L3" i="4"/>
  <c r="N5" i="4"/>
  <c r="L6" i="4"/>
  <c r="Q4" i="3"/>
  <c r="H12" i="4"/>
  <c r="J9" i="2"/>
  <c r="L9" i="2" s="1"/>
  <c r="C17" i="2" s="1"/>
  <c r="B15" i="2" l="1"/>
  <c r="B17" i="2"/>
  <c r="O6" i="4"/>
  <c r="B16" i="2"/>
  <c r="B14" i="2"/>
  <c r="O5" i="4"/>
  <c r="T4" i="3"/>
  <c r="T6" i="3"/>
  <c r="O4" i="4"/>
  <c r="T5" i="3"/>
</calcChain>
</file>

<file path=xl/sharedStrings.xml><?xml version="1.0" encoding="utf-8"?>
<sst xmlns="http://schemas.openxmlformats.org/spreadsheetml/2006/main" count="253" uniqueCount="114">
  <si>
    <t xml:space="preserve"> </t>
  </si>
  <si>
    <t>Macrophage Calculations</t>
  </si>
  <si>
    <t>A</t>
  </si>
  <si>
    <t>mac only</t>
  </si>
  <si>
    <t>B</t>
  </si>
  <si>
    <t>Volume to plate (mL)</t>
  </si>
  <si>
    <t>C</t>
  </si>
  <si>
    <t>Density needed (cells/mL)</t>
  </si>
  <si>
    <t>D</t>
  </si>
  <si>
    <t>Total volume needed (mL)</t>
  </si>
  <si>
    <t>E</t>
  </si>
  <si>
    <t>Measured cells per ml</t>
  </si>
  <si>
    <t>F</t>
  </si>
  <si>
    <t>Volume stock needed (mL)</t>
  </si>
  <si>
    <t>G</t>
  </si>
  <si>
    <t>Volume media for dilution</t>
  </si>
  <si>
    <t>H</t>
  </si>
  <si>
    <t>Measured cells per ml, seeded</t>
  </si>
  <si>
    <t>Measured cells per well</t>
  </si>
  <si>
    <t>Bacterial Calculations</t>
  </si>
  <si>
    <t xml:space="preserve">                    </t>
  </si>
  <si>
    <t>MOI</t>
  </si>
  <si>
    <t>Macrophage cells per well</t>
  </si>
  <si>
    <t>Volume bacteria to add (mL)</t>
  </si>
  <si>
    <t>Bacterial density needed (cells/mL)</t>
  </si>
  <si>
    <t>Cells/mL per OD600</t>
  </si>
  <si>
    <t>OD needed for given density</t>
  </si>
  <si>
    <t>Resuspend to</t>
  </si>
  <si>
    <t>Final MOI 5, dilute 1:100</t>
  </si>
  <si>
    <t>LVS</t>
  </si>
  <si>
    <t>Inoculum</t>
  </si>
  <si>
    <t>Replicate</t>
  </si>
  <si>
    <t>Dilution factor counted</t>
  </si>
  <si>
    <t>Cells / mL</t>
  </si>
  <si>
    <t>Average Cells / mL</t>
  </si>
  <si>
    <t>St dev</t>
  </si>
  <si>
    <t>CFU per well</t>
  </si>
  <si>
    <t>1A</t>
  </si>
  <si>
    <t>-</t>
  </si>
  <si>
    <t>1B</t>
  </si>
  <si>
    <t>2A</t>
  </si>
  <si>
    <t>2B</t>
  </si>
  <si>
    <t>3A</t>
  </si>
  <si>
    <t>3B</t>
  </si>
  <si>
    <t>4A</t>
  </si>
  <si>
    <t>4B</t>
  </si>
  <si>
    <t>Dilution Factor</t>
  </si>
  <si>
    <t>CFU/well</t>
  </si>
  <si>
    <t>Plate</t>
  </si>
  <si>
    <t>Plate 1</t>
  </si>
  <si>
    <t>Plate 2</t>
  </si>
  <si>
    <t>Average Cells</t>
  </si>
  <si>
    <t>Average CFU per well</t>
  </si>
  <si>
    <t>St Dev</t>
  </si>
  <si>
    <t>Original MOI</t>
  </si>
  <si>
    <t>50 ul cells plated</t>
  </si>
  <si>
    <t>*100 ul cells plated</t>
  </si>
  <si>
    <t>Track Plate 1</t>
  </si>
  <si>
    <t>Track Plate 2</t>
  </si>
  <si>
    <t>**Plated 100 ul on circular plate</t>
  </si>
  <si>
    <t>T-test</t>
  </si>
  <si>
    <t>Fold Change</t>
  </si>
  <si>
    <t>1C</t>
  </si>
  <si>
    <t>3C</t>
  </si>
  <si>
    <t>4C</t>
  </si>
  <si>
    <t>2C</t>
  </si>
  <si>
    <t>macrophage**</t>
  </si>
  <si>
    <t>LVS**</t>
  </si>
  <si>
    <t>LVS only</t>
  </si>
  <si>
    <t>*Plated 50 ul on circular plate</t>
  </si>
  <si>
    <t>T-test (vs LVS)</t>
  </si>
  <si>
    <t>macrophage*</t>
  </si>
  <si>
    <t>LVS*</t>
  </si>
  <si>
    <t>Actual</t>
  </si>
  <si>
    <t>Example</t>
  </si>
  <si>
    <t>MOI (based on number of seeded macrophage- see setup)</t>
  </si>
  <si>
    <t>Number of plates</t>
  </si>
  <si>
    <t>Patch strains for infections</t>
  </si>
  <si>
    <t>Round</t>
  </si>
  <si>
    <t>Square</t>
  </si>
  <si>
    <t>Plate inoculumns</t>
  </si>
  <si>
    <t>Timepoint 2 hours</t>
  </si>
  <si>
    <t>Notes</t>
  </si>
  <si>
    <t>2x each</t>
  </si>
  <si>
    <t>4 strains in duplicate</t>
  </si>
  <si>
    <t>3 wells plated in duplicate x 4 strains plus 2 plates for control wells</t>
  </si>
  <si>
    <t>Timepoint 24 hours</t>
  </si>
  <si>
    <t>Total plates</t>
  </si>
  <si>
    <t>Flasks of 600 mL CHA</t>
  </si>
  <si>
    <t>Total number of CHA flasks</t>
  </si>
  <si>
    <t>Round plates: 24 mL, 25 per flask; Square plates: 30 mL, 20 per flask</t>
  </si>
  <si>
    <t>Use</t>
  </si>
  <si>
    <t>∆pigR</t>
  </si>
  <si>
    <t>∆rpsU2</t>
  </si>
  <si>
    <t>∆rpsU1 ∆rpsU3</t>
  </si>
  <si>
    <t>Undiluted inoculum</t>
  </si>
  <si>
    <t>Square: 3 wells plated in duplicate x 3 strains (all but negative control); Round: 3 wells plated in duplicate (negative only), 2 plates for control wells</t>
  </si>
  <si>
    <t>Desired cells per well</t>
  </si>
  <si>
    <t>C1V1=C2V2</t>
  </si>
  <si>
    <t>Average of 3 counts</t>
  </si>
  <si>
    <t>Always the same</t>
  </si>
  <si>
    <t>From last night's measurement</t>
  </si>
  <si>
    <t>Because OD needed is too small to be measured</t>
  </si>
  <si>
    <t>Below is completed not in hood!</t>
  </si>
  <si>
    <t>∆pigR*</t>
  </si>
  <si>
    <t>St dev/well</t>
  </si>
  <si>
    <t>LVS only was contaminated</t>
  </si>
  <si>
    <t>chart with 2 hour</t>
  </si>
  <si>
    <t>chart with fold change to two hour</t>
  </si>
  <si>
    <t>T=2</t>
  </si>
  <si>
    <t>T=24</t>
  </si>
  <si>
    <t>Fold change</t>
  </si>
  <si>
    <t>Generation Time in Macrophage</t>
  </si>
  <si>
    <t>Generation Time in Vitro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</si>
</sst>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0"/>
    <numFmt numFmtId="166" formatCode="0.000"/>
  </numFmts>
  <fonts count="9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19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73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/>
    </xf>
    <xf numFmtId="0" fontId="1" fillId="0" borderId="0" xfId="0" applyFont="1"/>
    <xf numFmtId="0" fontId="0" fillId="0" borderId="3" xfId="0" applyBorder="1"/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11" fontId="0" fillId="0" borderId="1" xfId="0" applyNumberFormat="1" applyBorder="1"/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 wrapText="1"/>
    </xf>
    <xf numFmtId="11" fontId="0" fillId="0" borderId="1" xfId="0" applyNumberFormat="1" applyBorder="1" applyAlignment="1">
      <alignment horizontal="center" vertical="center"/>
    </xf>
    <xf numFmtId="2" fontId="0" fillId="0" borderId="1" xfId="0" applyNumberFormat="1" applyBorder="1"/>
    <xf numFmtId="11" fontId="0" fillId="0" borderId="0" xfId="0" applyNumberFormat="1"/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0" fontId="0" fillId="0" borderId="1" xfId="0" applyBorder="1" applyAlignment="1">
      <alignment horizontal="right"/>
    </xf>
    <xf numFmtId="11" fontId="0" fillId="0" borderId="1" xfId="0" applyNumberFormat="1" applyBorder="1" applyAlignment="1">
      <alignment horizontal="right"/>
    </xf>
    <xf numFmtId="0" fontId="0" fillId="0" borderId="1" xfId="0" applyBorder="1" applyAlignment="1">
      <alignment wrapText="1"/>
    </xf>
    <xf numFmtId="165" fontId="0" fillId="0" borderId="1" xfId="0" applyNumberFormat="1" applyBorder="1" applyAlignment="1">
      <alignment horizontal="right"/>
    </xf>
    <xf numFmtId="166" fontId="0" fillId="0" borderId="1" xfId="0" applyNumberFormat="1" applyBorder="1" applyAlignment="1">
      <alignment horizontal="right"/>
    </xf>
    <xf numFmtId="0" fontId="1" fillId="0" borderId="1" xfId="0" applyFont="1" applyBorder="1"/>
    <xf numFmtId="0" fontId="1" fillId="0" borderId="0" xfId="0" applyFont="1" applyAlignment="1">
      <alignment horizontal="center"/>
    </xf>
    <xf numFmtId="0" fontId="1" fillId="0" borderId="6" xfId="0" applyFont="1" applyBorder="1"/>
    <xf numFmtId="0" fontId="3" fillId="0" borderId="1" xfId="0" applyFont="1" applyBorder="1"/>
    <xf numFmtId="0" fontId="1" fillId="0" borderId="1" xfId="0" applyFont="1" applyBorder="1" applyAlignment="1">
      <alignment wrapText="1"/>
    </xf>
    <xf numFmtId="0" fontId="0" fillId="0" borderId="1" xfId="0" applyBorder="1" applyAlignment="1">
      <alignment horizontal="center"/>
    </xf>
    <xf numFmtId="164" fontId="0" fillId="0" borderId="1" xfId="0" applyNumberFormat="1" applyBorder="1"/>
    <xf numFmtId="1" fontId="0" fillId="0" borderId="1" xfId="0" applyNumberFormat="1" applyBorder="1"/>
    <xf numFmtId="0" fontId="1" fillId="0" borderId="7" xfId="0" applyFont="1" applyBorder="1" applyAlignment="1">
      <alignment horizontal="center"/>
    </xf>
    <xf numFmtId="0" fontId="0" fillId="0" borderId="7" xfId="0" applyBorder="1"/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applyAlignment="1">
      <alignment horizontal="left"/>
    </xf>
    <xf numFmtId="0" fontId="0" fillId="0" borderId="8" xfId="0" applyBorder="1" applyAlignment="1">
      <alignment horizontal="right"/>
    </xf>
    <xf numFmtId="0" fontId="0" fillId="0" borderId="0" xfId="0" applyAlignment="1">
      <alignment horizontal="right"/>
    </xf>
    <xf numFmtId="0" fontId="1" fillId="0" borderId="8" xfId="0" applyFont="1" applyBorder="1" applyAlignment="1">
      <alignment horizontal="right"/>
    </xf>
    <xf numFmtId="0" fontId="0" fillId="3" borderId="1" xfId="0" applyFill="1" applyBorder="1"/>
    <xf numFmtId="0" fontId="0" fillId="3" borderId="1" xfId="0" applyFill="1" applyBorder="1" applyAlignment="1">
      <alignment horizontal="center" vertical="center" wrapText="1"/>
    </xf>
    <xf numFmtId="0" fontId="0" fillId="3" borderId="5" xfId="0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/>
    <xf numFmtId="0" fontId="1" fillId="0" borderId="0" xfId="0" applyFont="1" applyFill="1" applyBorder="1"/>
    <xf numFmtId="11" fontId="0" fillId="0" borderId="1" xfId="0" applyNumberFormat="1" applyFill="1" applyBorder="1"/>
    <xf numFmtId="166" fontId="0" fillId="0" borderId="1" xfId="0" applyNumberFormat="1" applyFill="1" applyBorder="1"/>
    <xf numFmtId="166" fontId="0" fillId="0" borderId="1" xfId="0" applyNumberFormat="1" applyFill="1" applyBorder="1" applyAlignment="1">
      <alignment horizontal="right"/>
    </xf>
    <xf numFmtId="0" fontId="0" fillId="0" borderId="1" xfId="0" applyFill="1" applyBorder="1"/>
    <xf numFmtId="0" fontId="0" fillId="0" borderId="1" xfId="0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64" fontId="0" fillId="0" borderId="1" xfId="0" applyNumberFormat="1" applyFill="1" applyBorder="1"/>
    <xf numFmtId="1" fontId="0" fillId="0" borderId="1" xfId="0" applyNumberFormat="1" applyFill="1" applyBorder="1"/>
    <xf numFmtId="0" fontId="0" fillId="0" borderId="1" xfId="0" applyFill="1" applyBorder="1" applyAlignment="1">
      <alignment horizontal="right"/>
    </xf>
    <xf numFmtId="11" fontId="0" fillId="0" borderId="1" xfId="0" applyNumberFormat="1" applyFill="1" applyBorder="1" applyAlignment="1">
      <alignment horizontal="right"/>
    </xf>
    <xf numFmtId="0" fontId="1" fillId="0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right"/>
    </xf>
    <xf numFmtId="0" fontId="1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horizontal="right"/>
    </xf>
    <xf numFmtId="0" fontId="3" fillId="0" borderId="1" xfId="0" applyFont="1" applyFill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/>
    </xf>
  </cellXfs>
  <cellStyles count="51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4" builtinId="9" hidden="1"/>
    <cellStyle name="Followed Hyperlink" xfId="326" builtinId="9" hidden="1"/>
    <cellStyle name="Followed Hyperlink" xfId="328" builtinId="9" hidden="1"/>
    <cellStyle name="Followed Hyperlink" xfId="330" builtinId="9" hidden="1"/>
    <cellStyle name="Followed Hyperlink" xfId="332" builtinId="9" hidden="1"/>
    <cellStyle name="Followed Hyperlink" xfId="334" builtinId="9" hidden="1"/>
    <cellStyle name="Followed Hyperlink" xfId="336" builtinId="9" hidden="1"/>
    <cellStyle name="Followed Hyperlink" xfId="338" builtinId="9" hidden="1"/>
    <cellStyle name="Followed Hyperlink" xfId="340" builtinId="9" hidden="1"/>
    <cellStyle name="Followed Hyperlink" xfId="342" builtinId="9" hidden="1"/>
    <cellStyle name="Followed Hyperlink" xfId="344" builtinId="9" hidden="1"/>
    <cellStyle name="Followed Hyperlink" xfId="346" builtinId="9" hidden="1"/>
    <cellStyle name="Followed Hyperlink" xfId="348" builtinId="9" hidden="1"/>
    <cellStyle name="Followed Hyperlink" xfId="350" builtinId="9" hidden="1"/>
    <cellStyle name="Followed Hyperlink" xfId="352" builtinId="9" hidden="1"/>
    <cellStyle name="Followed Hyperlink" xfId="354" builtinId="9" hidden="1"/>
    <cellStyle name="Followed Hyperlink" xfId="356" builtinId="9" hidden="1"/>
    <cellStyle name="Followed Hyperlink" xfId="358" builtinId="9" hidden="1"/>
    <cellStyle name="Followed Hyperlink" xfId="360" builtinId="9" hidden="1"/>
    <cellStyle name="Followed Hyperlink" xfId="362" builtinId="9" hidden="1"/>
    <cellStyle name="Followed Hyperlink" xfId="364" builtinId="9" hidden="1"/>
    <cellStyle name="Followed Hyperlink" xfId="366" builtinId="9" hidden="1"/>
    <cellStyle name="Followed Hyperlink" xfId="368" builtinId="9" hidden="1"/>
    <cellStyle name="Followed Hyperlink" xfId="370" builtinId="9" hidden="1"/>
    <cellStyle name="Followed Hyperlink" xfId="372" builtinId="9" hidden="1"/>
    <cellStyle name="Followed Hyperlink" xfId="374" builtinId="9" hidden="1"/>
    <cellStyle name="Followed Hyperlink" xfId="376" builtinId="9" hidden="1"/>
    <cellStyle name="Followed Hyperlink" xfId="378" builtinId="9" hidden="1"/>
    <cellStyle name="Followed Hyperlink" xfId="380" builtinId="9" hidden="1"/>
    <cellStyle name="Followed Hyperlink" xfId="382" builtinId="9" hidden="1"/>
    <cellStyle name="Followed Hyperlink" xfId="384" builtinId="9" hidden="1"/>
    <cellStyle name="Followed Hyperlink" xfId="386" builtinId="9" hidden="1"/>
    <cellStyle name="Followed Hyperlink" xfId="388" builtinId="9" hidden="1"/>
    <cellStyle name="Followed Hyperlink" xfId="390" builtinId="9" hidden="1"/>
    <cellStyle name="Followed Hyperlink" xfId="392" builtinId="9" hidden="1"/>
    <cellStyle name="Followed Hyperlink" xfId="394" builtinId="9" hidden="1"/>
    <cellStyle name="Followed Hyperlink" xfId="396" builtinId="9" hidden="1"/>
    <cellStyle name="Followed Hyperlink" xfId="398" builtinId="9" hidden="1"/>
    <cellStyle name="Followed Hyperlink" xfId="400" builtinId="9" hidden="1"/>
    <cellStyle name="Followed Hyperlink" xfId="402" builtinId="9" hidden="1"/>
    <cellStyle name="Followed Hyperlink" xfId="404" builtinId="9" hidden="1"/>
    <cellStyle name="Followed Hyperlink" xfId="406" builtinId="9" hidden="1"/>
    <cellStyle name="Followed Hyperlink" xfId="408" builtinId="9" hidden="1"/>
    <cellStyle name="Followed Hyperlink" xfId="410" builtinId="9" hidden="1"/>
    <cellStyle name="Followed Hyperlink" xfId="412" builtinId="9" hidden="1"/>
    <cellStyle name="Followed Hyperlink" xfId="414" builtinId="9" hidden="1"/>
    <cellStyle name="Followed Hyperlink" xfId="416" builtinId="9" hidden="1"/>
    <cellStyle name="Followed Hyperlink" xfId="418" builtinId="9" hidden="1"/>
    <cellStyle name="Followed Hyperlink" xfId="420" builtinId="9" hidden="1"/>
    <cellStyle name="Followed Hyperlink" xfId="422" builtinId="9" hidden="1"/>
    <cellStyle name="Followed Hyperlink" xfId="424" builtinId="9" hidden="1"/>
    <cellStyle name="Followed Hyperlink" xfId="426" builtinId="9" hidden="1"/>
    <cellStyle name="Followed Hyperlink" xfId="428" builtinId="9" hidden="1"/>
    <cellStyle name="Followed Hyperlink" xfId="430" builtinId="9" hidden="1"/>
    <cellStyle name="Followed Hyperlink" xfId="432" builtinId="9" hidden="1"/>
    <cellStyle name="Followed Hyperlink" xfId="434" builtinId="9" hidden="1"/>
    <cellStyle name="Followed Hyperlink" xfId="436" builtinId="9" hidden="1"/>
    <cellStyle name="Followed Hyperlink" xfId="438" builtinId="9" hidden="1"/>
    <cellStyle name="Followed Hyperlink" xfId="440" builtinId="9" hidden="1"/>
    <cellStyle name="Followed Hyperlink" xfId="442" builtinId="9" hidden="1"/>
    <cellStyle name="Followed Hyperlink" xfId="444" builtinId="9" hidden="1"/>
    <cellStyle name="Followed Hyperlink" xfId="446" builtinId="9" hidden="1"/>
    <cellStyle name="Followed Hyperlink" xfId="448" builtinId="9" hidden="1"/>
    <cellStyle name="Followed Hyperlink" xfId="450" builtinId="9" hidden="1"/>
    <cellStyle name="Followed Hyperlink" xfId="452" builtinId="9" hidden="1"/>
    <cellStyle name="Followed Hyperlink" xfId="454" builtinId="9" hidden="1"/>
    <cellStyle name="Followed Hyperlink" xfId="456" builtinId="9" hidden="1"/>
    <cellStyle name="Followed Hyperlink" xfId="458" builtinId="9" hidden="1"/>
    <cellStyle name="Followed Hyperlink" xfId="460" builtinId="9" hidden="1"/>
    <cellStyle name="Followed Hyperlink" xfId="462" builtinId="9" hidden="1"/>
    <cellStyle name="Followed Hyperlink" xfId="464" builtinId="9" hidden="1"/>
    <cellStyle name="Followed Hyperlink" xfId="466" builtinId="9" hidden="1"/>
    <cellStyle name="Followed Hyperlink" xfId="468" builtinId="9" hidden="1"/>
    <cellStyle name="Followed Hyperlink" xfId="470" builtinId="9" hidden="1"/>
    <cellStyle name="Followed Hyperlink" xfId="472" builtinId="9" hidden="1"/>
    <cellStyle name="Followed Hyperlink" xfId="474" builtinId="9" hidden="1"/>
    <cellStyle name="Followed Hyperlink" xfId="476" builtinId="9" hidden="1"/>
    <cellStyle name="Followed Hyperlink" xfId="478" builtinId="9" hidden="1"/>
    <cellStyle name="Followed Hyperlink" xfId="480" builtinId="9" hidden="1"/>
    <cellStyle name="Followed Hyperlink" xfId="482" builtinId="9" hidden="1"/>
    <cellStyle name="Followed Hyperlink" xfId="484" builtinId="9" hidden="1"/>
    <cellStyle name="Followed Hyperlink" xfId="486" builtinId="9" hidden="1"/>
    <cellStyle name="Followed Hyperlink" xfId="488" builtinId="9" hidden="1"/>
    <cellStyle name="Followed Hyperlink" xfId="490" builtinId="9" hidden="1"/>
    <cellStyle name="Followed Hyperlink" xfId="492" builtinId="9" hidden="1"/>
    <cellStyle name="Followed Hyperlink" xfId="494" builtinId="9" hidden="1"/>
    <cellStyle name="Followed Hyperlink" xfId="496" builtinId="9" hidden="1"/>
    <cellStyle name="Followed Hyperlink" xfId="498" builtinId="9" hidden="1"/>
    <cellStyle name="Followed Hyperlink" xfId="500" builtinId="9" hidden="1"/>
    <cellStyle name="Followed Hyperlink" xfId="502" builtinId="9" hidden="1"/>
    <cellStyle name="Followed Hyperlink" xfId="504" builtinId="9" hidden="1"/>
    <cellStyle name="Followed Hyperlink" xfId="506" builtinId="9" hidden="1"/>
    <cellStyle name="Followed Hyperlink" xfId="508" builtinId="9" hidden="1"/>
    <cellStyle name="Followed Hyperlink" xfId="510" builtinId="9" hidden="1"/>
    <cellStyle name="Followed Hyperlink" xfId="512" builtinId="9" hidden="1"/>
    <cellStyle name="Followed Hyperlink" xfId="514" builtinId="9" hidden="1"/>
    <cellStyle name="Followed Hyperlink" xfId="516" builtinId="9" hidden="1"/>
    <cellStyle name="Followed Hyperlink" xfId="51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29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5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1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7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3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09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5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1" builtinId="8" hidden="1"/>
    <cellStyle name="Hyperlink" xfId="443" builtinId="8" hidden="1"/>
    <cellStyle name="Hyperlink" xfId="445" builtinId="8" hidden="1"/>
    <cellStyle name="Hyperlink" xfId="447" builtinId="8" hidden="1"/>
    <cellStyle name="Hyperlink" xfId="449" builtinId="8" hidden="1"/>
    <cellStyle name="Hyperlink" xfId="451" builtinId="8" hidden="1"/>
    <cellStyle name="Hyperlink" xfId="453" builtinId="8" hidden="1"/>
    <cellStyle name="Hyperlink" xfId="455" builtinId="8" hidden="1"/>
    <cellStyle name="Hyperlink" xfId="457" builtinId="8" hidden="1"/>
    <cellStyle name="Hyperlink" xfId="459" builtinId="8" hidden="1"/>
    <cellStyle name="Hyperlink" xfId="461" builtinId="8" hidden="1"/>
    <cellStyle name="Hyperlink" xfId="463" builtinId="8" hidden="1"/>
    <cellStyle name="Hyperlink" xfId="465" builtinId="8" hidden="1"/>
    <cellStyle name="Hyperlink" xfId="467" builtinId="8" hidden="1"/>
    <cellStyle name="Hyperlink" xfId="469" builtinId="8" hidden="1"/>
    <cellStyle name="Hyperlink" xfId="471" builtinId="8" hidden="1"/>
    <cellStyle name="Hyperlink" xfId="473" builtinId="8" hidden="1"/>
    <cellStyle name="Hyperlink" xfId="475" builtinId="8" hidden="1"/>
    <cellStyle name="Hyperlink" xfId="477" builtinId="8" hidden="1"/>
    <cellStyle name="Hyperlink" xfId="479" builtinId="8" hidden="1"/>
    <cellStyle name="Hyperlink" xfId="481" builtinId="8" hidden="1"/>
    <cellStyle name="Hyperlink" xfId="483" builtinId="8" hidden="1"/>
    <cellStyle name="Hyperlink" xfId="485" builtinId="8" hidden="1"/>
    <cellStyle name="Hyperlink" xfId="487" builtinId="8" hidden="1"/>
    <cellStyle name="Hyperlink" xfId="489" builtinId="8" hidden="1"/>
    <cellStyle name="Hyperlink" xfId="491" builtinId="8" hidden="1"/>
    <cellStyle name="Hyperlink" xfId="493" builtinId="8" hidden="1"/>
    <cellStyle name="Hyperlink" xfId="495" builtinId="8" hidden="1"/>
    <cellStyle name="Hyperlink" xfId="497" builtinId="8" hidden="1"/>
    <cellStyle name="Hyperlink" xfId="499" builtinId="8" hidden="1"/>
    <cellStyle name="Hyperlink" xfId="501" builtinId="8" hidden="1"/>
    <cellStyle name="Hyperlink" xfId="503" builtinId="8" hidden="1"/>
    <cellStyle name="Hyperlink" xfId="505" builtinId="8" hidden="1"/>
    <cellStyle name="Hyperlink" xfId="507" builtinId="8" hidden="1"/>
    <cellStyle name="Hyperlink" xfId="509" builtinId="8" hidden="1"/>
    <cellStyle name="Hyperlink" xfId="511" builtinId="8" hidden="1"/>
    <cellStyle name="Hyperlink" xfId="513" builtinId="8" hidden="1"/>
    <cellStyle name="Hyperlink" xfId="515" builtinId="8" hidden="1"/>
    <cellStyle name="Hyperlink" xfId="517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Inoculum!$B$13</c:f>
              <c:strCache>
                <c:ptCount val="1"/>
                <c:pt idx="0">
                  <c:v>CFU/well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Inoculum!$C$14:$C$17</c:f>
                <c:numCache>
                  <c:formatCode>General</c:formatCode>
                  <c:ptCount val="4"/>
                  <c:pt idx="0">
                    <c:v>10606.601717798214</c:v>
                  </c:pt>
                  <c:pt idx="1">
                    <c:v>6717.5144212722025</c:v>
                  </c:pt>
                  <c:pt idx="2">
                    <c:v>7071.067811865476</c:v>
                  </c:pt>
                  <c:pt idx="3">
                    <c:v>28284.271247461904</c:v>
                  </c:pt>
                </c:numCache>
              </c:numRef>
            </c:plus>
            <c:minus>
              <c:numRef>
                <c:f>Inoculum!$C$14:$C$17</c:f>
                <c:numCache>
                  <c:formatCode>General</c:formatCode>
                  <c:ptCount val="4"/>
                  <c:pt idx="0">
                    <c:v>10606.601717798214</c:v>
                  </c:pt>
                  <c:pt idx="1">
                    <c:v>6717.5144212722025</c:v>
                  </c:pt>
                  <c:pt idx="2">
                    <c:v>7071.067811865476</c:v>
                  </c:pt>
                  <c:pt idx="3">
                    <c:v>28284.271247461904</c:v>
                  </c:pt>
                </c:numCache>
              </c:numRef>
            </c:minus>
          </c:errBars>
          <c:cat>
            <c:strRef>
              <c:f>Inoculum!$A$14:$A$17</c:f>
              <c:strCache>
                <c:ptCount val="4"/>
                <c:pt idx="0">
                  <c:v>LVS</c:v>
                </c:pt>
                <c:pt idx="1">
                  <c:v>∆pigR</c:v>
                </c:pt>
                <c:pt idx="2">
                  <c:v>∆rpsU1 ∆rpsU3</c:v>
                </c:pt>
                <c:pt idx="3">
                  <c:v>∆rpsU2</c:v>
                </c:pt>
              </c:strCache>
            </c:strRef>
          </c:cat>
          <c:val>
            <c:numRef>
              <c:f>Inoculum!$B$14:$B$17</c:f>
              <c:numCache>
                <c:formatCode>0.00E+00</c:formatCode>
                <c:ptCount val="4"/>
                <c:pt idx="0">
                  <c:v>62500</c:v>
                </c:pt>
                <c:pt idx="1">
                  <c:v>60250</c:v>
                </c:pt>
                <c:pt idx="2">
                  <c:v>110000</c:v>
                </c:pt>
                <c:pt idx="3">
                  <c:v>110000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57-9243-A823-DF797AE1FF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3418248"/>
        <c:axId val="1793373688"/>
      </c:barChart>
      <c:catAx>
        <c:axId val="179341824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793373688"/>
        <c:crosses val="autoZero"/>
        <c:auto val="1"/>
        <c:lblAlgn val="ctr"/>
        <c:lblOffset val="100"/>
        <c:noMultiLvlLbl val="0"/>
      </c:catAx>
      <c:valAx>
        <c:axId val="1793373688"/>
        <c:scaling>
          <c:logBase val="10"/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Inoculumn</a:t>
                </a:r>
                <a:r>
                  <a:rPr lang="en-US" baseline="0"/>
                  <a:t> (CFU/well)</a:t>
                </a:r>
                <a:endParaRPr lang="en-US"/>
              </a:p>
            </c:rich>
          </c:tx>
          <c:overlay val="0"/>
        </c:title>
        <c:numFmt formatCode="0.00E+00" sourceLinked="1"/>
        <c:majorTickMark val="out"/>
        <c:minorTickMark val="none"/>
        <c:tickLblPos val="nextTo"/>
        <c:crossAx val="17934182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822951376361"/>
          <c:y val="5.9821077052868397E-2"/>
          <c:w val="0.77507651166245695"/>
          <c:h val="0.75340762335503919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errBars>
            <c:errBarType val="both"/>
            <c:errValType val="cust"/>
            <c:noEndCap val="0"/>
            <c:plus>
              <c:numRef>
                <c:f>'T=2'!$L$3:$L$6</c:f>
                <c:numCache>
                  <c:formatCode>General</c:formatCode>
                  <c:ptCount val="4"/>
                  <c:pt idx="0">
                    <c:v>6</c:v>
                  </c:pt>
                  <c:pt idx="1">
                    <c:v>5.0332229568471645</c:v>
                  </c:pt>
                  <c:pt idx="2">
                    <c:v>16.970562748477139</c:v>
                  </c:pt>
                  <c:pt idx="3">
                    <c:v>1.1547005383792557</c:v>
                  </c:pt>
                </c:numCache>
              </c:numRef>
            </c:plus>
            <c:minus>
              <c:numRef>
                <c:f>'T=2'!$L$3:$L$6</c:f>
                <c:numCache>
                  <c:formatCode>General</c:formatCode>
                  <c:ptCount val="4"/>
                  <c:pt idx="0">
                    <c:v>6</c:v>
                  </c:pt>
                  <c:pt idx="1">
                    <c:v>5.0332229568471645</c:v>
                  </c:pt>
                  <c:pt idx="2">
                    <c:v>16.970562748477139</c:v>
                  </c:pt>
                  <c:pt idx="3">
                    <c:v>1.1547005383792557</c:v>
                  </c:pt>
                </c:numCache>
              </c:numRef>
            </c:minus>
          </c:errBars>
          <c:cat>
            <c:strRef>
              <c:f>'T=2'!$J$3:$J$8</c:f>
              <c:strCache>
                <c:ptCount val="4"/>
                <c:pt idx="0">
                  <c:v>LVS</c:v>
                </c:pt>
                <c:pt idx="1">
                  <c:v>∆pigR</c:v>
                </c:pt>
                <c:pt idx="2">
                  <c:v>∆rpsU1 ∆rpsU3</c:v>
                </c:pt>
                <c:pt idx="3">
                  <c:v>∆rpsU2</c:v>
                </c:pt>
              </c:strCache>
            </c:strRef>
          </c:cat>
          <c:val>
            <c:numRef>
              <c:f>'T=2'!$K$3:$K$6</c:f>
              <c:numCache>
                <c:formatCode>0.00E+00</c:formatCode>
                <c:ptCount val="4"/>
                <c:pt idx="0">
                  <c:v>14</c:v>
                </c:pt>
                <c:pt idx="1">
                  <c:v>16.666666666666668</c:v>
                </c:pt>
                <c:pt idx="2">
                  <c:v>12</c:v>
                </c:pt>
                <c:pt idx="3">
                  <c:v>9.3333333333333339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070-D844-9E5D-E914FA6887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3656808"/>
        <c:axId val="1793638376"/>
      </c:barChart>
      <c:catAx>
        <c:axId val="179365680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400"/>
            </a:pPr>
            <a:endParaRPr lang="en-US"/>
          </a:p>
        </c:txPr>
        <c:crossAx val="1793638376"/>
        <c:crosses val="autoZero"/>
        <c:auto val="1"/>
        <c:lblAlgn val="ctr"/>
        <c:lblOffset val="100"/>
        <c:noMultiLvlLbl val="0"/>
      </c:catAx>
      <c:valAx>
        <c:axId val="1793638376"/>
        <c:scaling>
          <c:logBase val="10"/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CFU Recovered</a:t>
                </a:r>
              </a:p>
            </c:rich>
          </c:tx>
          <c:layout>
            <c:manualLayout>
              <c:xMode val="edge"/>
              <c:yMode val="edge"/>
              <c:x val="1.02669404517454E-2"/>
              <c:y val="0.18607775590551201"/>
            </c:manualLayout>
          </c:layout>
          <c:overlay val="0"/>
        </c:title>
        <c:numFmt formatCode="0.E+00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793656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202281567213699"/>
          <c:y val="4.4444444444444398E-2"/>
          <c:w val="0.696153353571767"/>
          <c:h val="0.707730574375877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'T=24'!$P$2</c:f>
              <c:strCache>
                <c:ptCount val="1"/>
                <c:pt idx="0">
                  <c:v>Average CFU per well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'T=24'!$Q$3:$Q$6</c:f>
                <c:numCache>
                  <c:formatCode>General</c:formatCode>
                  <c:ptCount val="4"/>
                  <c:pt idx="0">
                    <c:v>11953.799953710677</c:v>
                  </c:pt>
                  <c:pt idx="1">
                    <c:v>0</c:v>
                  </c:pt>
                  <c:pt idx="2">
                    <c:v>3231.6146634976972</c:v>
                  </c:pt>
                  <c:pt idx="3">
                    <c:v>404.47496832313368</c:v>
                  </c:pt>
                </c:numCache>
              </c:numRef>
            </c:plus>
            <c:minus>
              <c:numRef>
                <c:f>'T=24'!$Q$3:$Q$6</c:f>
                <c:numCache>
                  <c:formatCode>General</c:formatCode>
                  <c:ptCount val="4"/>
                  <c:pt idx="0">
                    <c:v>11953.799953710677</c:v>
                  </c:pt>
                  <c:pt idx="1">
                    <c:v>0</c:v>
                  </c:pt>
                  <c:pt idx="2">
                    <c:v>3231.6146634976972</c:v>
                  </c:pt>
                  <c:pt idx="3">
                    <c:v>404.47496832313368</c:v>
                  </c:pt>
                </c:numCache>
              </c:numRef>
            </c:minus>
          </c:errBars>
          <c:cat>
            <c:strRef>
              <c:f>'T=24'!$O$3:$O$6</c:f>
              <c:strCache>
                <c:ptCount val="4"/>
                <c:pt idx="0">
                  <c:v>LVS</c:v>
                </c:pt>
                <c:pt idx="1">
                  <c:v>∆pigR</c:v>
                </c:pt>
                <c:pt idx="2">
                  <c:v>∆rpsU1 ∆rpsU3</c:v>
                </c:pt>
                <c:pt idx="3">
                  <c:v>∆rpsU2</c:v>
                </c:pt>
              </c:strCache>
            </c:strRef>
          </c:cat>
          <c:val>
            <c:numRef>
              <c:f>'T=24'!$P$3:$P$6</c:f>
              <c:numCache>
                <c:formatCode>0.00E+00</c:formatCode>
                <c:ptCount val="4"/>
                <c:pt idx="0">
                  <c:v>24266.666666666668</c:v>
                </c:pt>
                <c:pt idx="1">
                  <c:v>0</c:v>
                </c:pt>
                <c:pt idx="2">
                  <c:v>5233.333333333333</c:v>
                </c:pt>
                <c:pt idx="3">
                  <c:v>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9C-1340-A0AC-6C65CBE061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4037064"/>
        <c:axId val="1793997192"/>
      </c:barChart>
      <c:catAx>
        <c:axId val="17940370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600"/>
            </a:pPr>
            <a:endParaRPr lang="en-US"/>
          </a:p>
        </c:txPr>
        <c:crossAx val="1793997192"/>
        <c:crosses val="autoZero"/>
        <c:auto val="1"/>
        <c:lblAlgn val="ctr"/>
        <c:lblOffset val="100"/>
        <c:noMultiLvlLbl val="0"/>
      </c:catAx>
      <c:valAx>
        <c:axId val="1793997192"/>
        <c:scaling>
          <c:logBase val="10"/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CFU per well</a:t>
                </a:r>
              </a:p>
            </c:rich>
          </c:tx>
          <c:layout>
            <c:manualLayout>
              <c:xMode val="edge"/>
              <c:yMode val="edge"/>
              <c:x val="5.0508696554918504E-3"/>
              <c:y val="0.20376786235053901"/>
            </c:manualLayout>
          </c:layout>
          <c:overlay val="0"/>
        </c:title>
        <c:numFmt formatCode="0.E+00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7940370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202281567213699"/>
          <c:y val="4.4444444444444398E-2"/>
          <c:w val="0.696153353571767"/>
          <c:h val="0.707730574375877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 vs 24'!$B$1</c:f>
              <c:strCache>
                <c:ptCount val="1"/>
                <c:pt idx="0">
                  <c:v>T=2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'2 vs 24'!$C$2:$C$5</c:f>
                <c:numCache>
                  <c:formatCode>General</c:formatCode>
                  <c:ptCount val="4"/>
                  <c:pt idx="0">
                    <c:v>6</c:v>
                  </c:pt>
                  <c:pt idx="1">
                    <c:v>5.0332229568471645</c:v>
                  </c:pt>
                  <c:pt idx="2">
                    <c:v>16.970562748477139</c:v>
                  </c:pt>
                  <c:pt idx="3">
                    <c:v>1.1547005383792557</c:v>
                  </c:pt>
                </c:numCache>
              </c:numRef>
            </c:plus>
            <c:minus>
              <c:numRef>
                <c:f>'2 vs 24'!$C$2:$C$5</c:f>
                <c:numCache>
                  <c:formatCode>General</c:formatCode>
                  <c:ptCount val="4"/>
                  <c:pt idx="0">
                    <c:v>6</c:v>
                  </c:pt>
                  <c:pt idx="1">
                    <c:v>5.0332229568471645</c:v>
                  </c:pt>
                  <c:pt idx="2">
                    <c:v>16.970562748477139</c:v>
                  </c:pt>
                  <c:pt idx="3">
                    <c:v>1.1547005383792557</c:v>
                  </c:pt>
                </c:numCache>
              </c:numRef>
            </c:minus>
          </c:errBars>
          <c:cat>
            <c:strRef>
              <c:f>'2 vs 24'!$A$2:$A$5</c:f>
              <c:strCache>
                <c:ptCount val="4"/>
                <c:pt idx="0">
                  <c:v>LVS</c:v>
                </c:pt>
                <c:pt idx="1">
                  <c:v>∆pigR</c:v>
                </c:pt>
                <c:pt idx="2">
                  <c:v>∆rpsU1 ∆rpsU3</c:v>
                </c:pt>
                <c:pt idx="3">
                  <c:v>∆rpsU2</c:v>
                </c:pt>
              </c:strCache>
            </c:strRef>
          </c:cat>
          <c:val>
            <c:numRef>
              <c:f>'2 vs 24'!$B$2:$B$5</c:f>
              <c:numCache>
                <c:formatCode>General</c:formatCode>
                <c:ptCount val="4"/>
                <c:pt idx="0">
                  <c:v>14</c:v>
                </c:pt>
                <c:pt idx="1">
                  <c:v>16.666666666666668</c:v>
                </c:pt>
                <c:pt idx="2">
                  <c:v>12</c:v>
                </c:pt>
                <c:pt idx="3">
                  <c:v>9.3333333333333339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DD-46FB-9425-FBB51D853FD1}"/>
            </c:ext>
          </c:extLst>
        </c:ser>
        <c:ser>
          <c:idx val="1"/>
          <c:order val="1"/>
          <c:tx>
            <c:strRef>
              <c:f>'2 vs 24'!$D$1</c:f>
              <c:strCache>
                <c:ptCount val="1"/>
                <c:pt idx="0">
                  <c:v>T=24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'2 vs 24'!$E$2:$E$5</c:f>
                <c:numCache>
                  <c:formatCode>General</c:formatCode>
                  <c:ptCount val="4"/>
                  <c:pt idx="0">
                    <c:v>11953.799953710677</c:v>
                  </c:pt>
                  <c:pt idx="1">
                    <c:v>0</c:v>
                  </c:pt>
                  <c:pt idx="2">
                    <c:v>3231.6146634976972</c:v>
                  </c:pt>
                  <c:pt idx="3">
                    <c:v>404.47496832313368</c:v>
                  </c:pt>
                </c:numCache>
              </c:numRef>
            </c:plus>
            <c:minus>
              <c:numRef>
                <c:f>'2 vs 24'!$E$2:$E$5</c:f>
                <c:numCache>
                  <c:formatCode>General</c:formatCode>
                  <c:ptCount val="4"/>
                  <c:pt idx="0">
                    <c:v>11953.799953710677</c:v>
                  </c:pt>
                  <c:pt idx="1">
                    <c:v>0</c:v>
                  </c:pt>
                  <c:pt idx="2">
                    <c:v>3231.6146634976972</c:v>
                  </c:pt>
                  <c:pt idx="3">
                    <c:v>404.47496832313368</c:v>
                  </c:pt>
                </c:numCache>
              </c:numRef>
            </c:minus>
          </c:errBars>
          <c:cat>
            <c:strRef>
              <c:f>'2 vs 24'!$A$2:$A$5</c:f>
              <c:strCache>
                <c:ptCount val="4"/>
                <c:pt idx="0">
                  <c:v>LVS</c:v>
                </c:pt>
                <c:pt idx="1">
                  <c:v>∆pigR</c:v>
                </c:pt>
                <c:pt idx="2">
                  <c:v>∆rpsU1 ∆rpsU3</c:v>
                </c:pt>
                <c:pt idx="3">
                  <c:v>∆rpsU2</c:v>
                </c:pt>
              </c:strCache>
            </c:strRef>
          </c:cat>
          <c:val>
            <c:numRef>
              <c:f>'2 vs 24'!$D$2:$D$5</c:f>
              <c:numCache>
                <c:formatCode>General</c:formatCode>
                <c:ptCount val="4"/>
                <c:pt idx="0">
                  <c:v>24266.666666666668</c:v>
                </c:pt>
                <c:pt idx="1">
                  <c:v>0</c:v>
                </c:pt>
                <c:pt idx="2">
                  <c:v>5233.333333333333</c:v>
                </c:pt>
                <c:pt idx="3">
                  <c:v>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DD-46FB-9425-FBB51D853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4037064"/>
        <c:axId val="1793997192"/>
      </c:barChart>
      <c:catAx>
        <c:axId val="17940370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793997192"/>
        <c:crosses val="autoZero"/>
        <c:auto val="1"/>
        <c:lblAlgn val="ctr"/>
        <c:lblOffset val="100"/>
        <c:noMultiLvlLbl val="0"/>
      </c:catAx>
      <c:valAx>
        <c:axId val="1793997192"/>
        <c:scaling>
          <c:logBase val="10"/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CFU per well</a:t>
                </a:r>
              </a:p>
            </c:rich>
          </c:tx>
          <c:layout>
            <c:manualLayout>
              <c:xMode val="edge"/>
              <c:yMode val="edge"/>
              <c:x val="5.0508696554918504E-3"/>
              <c:y val="0.20376786235053901"/>
            </c:manualLayout>
          </c:layout>
          <c:overlay val="0"/>
        </c:title>
        <c:numFmt formatCode="0.E+00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79403706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4756259400159282E-2"/>
          <c:y val="0.89274093708583457"/>
          <c:w val="0.1534086525701141"/>
          <c:h val="7.1615498557729793E-2"/>
        </c:manualLayout>
      </c:layout>
      <c:overlay val="0"/>
    </c:legend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Fold change (2 vs 24 hours)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 vs 24'!$F$1</c:f>
              <c:strCache>
                <c:ptCount val="1"/>
                <c:pt idx="0">
                  <c:v>Fold change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 vs 24'!$A$2:$A$5</c:f>
              <c:strCache>
                <c:ptCount val="4"/>
                <c:pt idx="0">
                  <c:v>LVS</c:v>
                </c:pt>
                <c:pt idx="1">
                  <c:v>∆pigR</c:v>
                </c:pt>
                <c:pt idx="2">
                  <c:v>∆rpsU1 ∆rpsU3</c:v>
                </c:pt>
                <c:pt idx="3">
                  <c:v>∆rpsU2</c:v>
                </c:pt>
              </c:strCache>
            </c:strRef>
          </c:cat>
          <c:val>
            <c:numRef>
              <c:f>'2 vs 24'!$F$2:$F$5</c:f>
              <c:numCache>
                <c:formatCode>General</c:formatCode>
                <c:ptCount val="4"/>
                <c:pt idx="0">
                  <c:v>1733.3333333333335</c:v>
                </c:pt>
                <c:pt idx="1">
                  <c:v>0</c:v>
                </c:pt>
                <c:pt idx="2">
                  <c:v>436.11111111111109</c:v>
                </c:pt>
                <c:pt idx="3">
                  <c:v>38.571428571428569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E7-484E-8C40-012ADBAC2B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3720368"/>
        <c:axId val="196765184"/>
      </c:barChart>
      <c:catAx>
        <c:axId val="25372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765184"/>
        <c:crosses val="autoZero"/>
        <c:auto val="1"/>
        <c:lblAlgn val="ctr"/>
        <c:lblOffset val="100"/>
        <c:noMultiLvlLbl val="0"/>
      </c:catAx>
      <c:valAx>
        <c:axId val="196765184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72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202281567213699"/>
          <c:y val="4.4444444444444398E-2"/>
          <c:w val="0.696153353571767"/>
          <c:h val="0.707730574375877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'2 vs 24 (2)'!$B$1</c:f>
              <c:strCache>
                <c:ptCount val="1"/>
                <c:pt idx="0">
                  <c:v>T=2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'2 vs 24 (2)'!$C$2:$C$3</c:f>
                <c:numCache>
                  <c:formatCode>General</c:formatCode>
                  <c:ptCount val="2"/>
                  <c:pt idx="0">
                    <c:v>6</c:v>
                  </c:pt>
                  <c:pt idx="1">
                    <c:v>1.1547005383792557</c:v>
                  </c:pt>
                </c:numCache>
              </c:numRef>
            </c:plus>
            <c:minus>
              <c:numRef>
                <c:f>'2 vs 24 (2)'!$C$2:$C$3</c:f>
                <c:numCache>
                  <c:formatCode>General</c:formatCode>
                  <c:ptCount val="2"/>
                  <c:pt idx="0">
                    <c:v>6</c:v>
                  </c:pt>
                  <c:pt idx="1">
                    <c:v>1.1547005383792557</c:v>
                  </c:pt>
                </c:numCache>
              </c:numRef>
            </c:minus>
          </c:errBars>
          <c:cat>
            <c:strRef>
              <c:f>'2 vs 24 (2)'!$A$2:$A$3</c:f>
              <c:strCache>
                <c:ptCount val="2"/>
                <c:pt idx="0">
                  <c:v>LVS</c:v>
                </c:pt>
                <c:pt idx="1">
                  <c:v>∆rpsU2</c:v>
                </c:pt>
              </c:strCache>
            </c:strRef>
          </c:cat>
          <c:val>
            <c:numRef>
              <c:f>'2 vs 24 (2)'!$B$2:$B$3</c:f>
              <c:numCache>
                <c:formatCode>General</c:formatCode>
                <c:ptCount val="2"/>
                <c:pt idx="0">
                  <c:v>14</c:v>
                </c:pt>
                <c:pt idx="1">
                  <c:v>9.3333333333333339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CA-4122-9DBA-30138D430B90}"/>
            </c:ext>
          </c:extLst>
        </c:ser>
        <c:ser>
          <c:idx val="1"/>
          <c:order val="1"/>
          <c:tx>
            <c:strRef>
              <c:f>'2 vs 24 (2)'!$D$1</c:f>
              <c:strCache>
                <c:ptCount val="1"/>
                <c:pt idx="0">
                  <c:v>T=24</c:v>
                </c:pt>
              </c:strCache>
            </c:strRef>
          </c:tx>
          <c:invertIfNegative val="0"/>
          <c:errBars>
            <c:errBarType val="both"/>
            <c:errValType val="cust"/>
            <c:noEndCap val="0"/>
            <c:plus>
              <c:numRef>
                <c:f>'2 vs 24 (2)'!$E$2:$E$3</c:f>
                <c:numCache>
                  <c:formatCode>General</c:formatCode>
                  <c:ptCount val="2"/>
                  <c:pt idx="0">
                    <c:v>11953.799953710677</c:v>
                  </c:pt>
                  <c:pt idx="1">
                    <c:v>404.47496832313368</c:v>
                  </c:pt>
                </c:numCache>
              </c:numRef>
            </c:plus>
            <c:minus>
              <c:numRef>
                <c:f>'2 vs 24 (2)'!$E$2:$E$3</c:f>
                <c:numCache>
                  <c:formatCode>General</c:formatCode>
                  <c:ptCount val="2"/>
                  <c:pt idx="0">
                    <c:v>11953.799953710677</c:v>
                  </c:pt>
                  <c:pt idx="1">
                    <c:v>404.47496832313368</c:v>
                  </c:pt>
                </c:numCache>
              </c:numRef>
            </c:minus>
          </c:errBars>
          <c:cat>
            <c:strRef>
              <c:f>'2 vs 24 (2)'!$A$2:$A$3</c:f>
              <c:strCache>
                <c:ptCount val="2"/>
                <c:pt idx="0">
                  <c:v>LVS</c:v>
                </c:pt>
                <c:pt idx="1">
                  <c:v>∆rpsU2</c:v>
                </c:pt>
              </c:strCache>
            </c:strRef>
          </c:cat>
          <c:val>
            <c:numRef>
              <c:f>'2 vs 24 (2)'!$D$2:$D$3</c:f>
              <c:numCache>
                <c:formatCode>General</c:formatCode>
                <c:ptCount val="2"/>
                <c:pt idx="0">
                  <c:v>24266.666666666668</c:v>
                </c:pt>
                <c:pt idx="1">
                  <c:v>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CA-4122-9DBA-30138D430B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94037064"/>
        <c:axId val="1793997192"/>
      </c:barChart>
      <c:catAx>
        <c:axId val="17940370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793997192"/>
        <c:crosses val="autoZero"/>
        <c:auto val="1"/>
        <c:lblAlgn val="ctr"/>
        <c:lblOffset val="100"/>
        <c:noMultiLvlLbl val="0"/>
      </c:catAx>
      <c:valAx>
        <c:axId val="1793997192"/>
        <c:scaling>
          <c:logBase val="10"/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CFU per well</a:t>
                </a:r>
              </a:p>
            </c:rich>
          </c:tx>
          <c:layout>
            <c:manualLayout>
              <c:xMode val="edge"/>
              <c:yMode val="edge"/>
              <c:x val="5.0508696554918504E-3"/>
              <c:y val="0.20376786235053901"/>
            </c:manualLayout>
          </c:layout>
          <c:overlay val="0"/>
        </c:title>
        <c:numFmt formatCode="0.E+00" sourceLinked="0"/>
        <c:majorTickMark val="out"/>
        <c:minorTickMark val="none"/>
        <c:tickLblPos val="nextTo"/>
        <c:txPr>
          <a:bodyPr/>
          <a:lstStyle/>
          <a:p>
            <a:pPr>
              <a:defRPr sz="1200"/>
            </a:pPr>
            <a:endParaRPr lang="en-US"/>
          </a:p>
        </c:txPr>
        <c:crossAx val="179403706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4756259400159282E-2"/>
          <c:y val="0.89274093708583457"/>
          <c:w val="0.1534086525701141"/>
          <c:h val="7.1615498557729793E-2"/>
        </c:manualLayout>
      </c:layout>
      <c:overlay val="0"/>
    </c:legend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Fold change (2 vs 24 hours)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 vs 24 (2)'!$F$1</c:f>
              <c:strCache>
                <c:ptCount val="1"/>
                <c:pt idx="0">
                  <c:v>Fold change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 vs 24 (2)'!$A$2:$A$3</c:f>
              <c:strCache>
                <c:ptCount val="2"/>
                <c:pt idx="0">
                  <c:v>LVS</c:v>
                </c:pt>
                <c:pt idx="1">
                  <c:v>∆rpsU2</c:v>
                </c:pt>
              </c:strCache>
            </c:strRef>
          </c:cat>
          <c:val>
            <c:numRef>
              <c:f>'2 vs 24 (2)'!$F$2:$F$3</c:f>
              <c:numCache>
                <c:formatCode>General</c:formatCode>
                <c:ptCount val="2"/>
                <c:pt idx="0">
                  <c:v>1733.3333333333335</c:v>
                </c:pt>
                <c:pt idx="1">
                  <c:v>38.571428571428569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01-4990-8F19-1517C7C364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53720368"/>
        <c:axId val="196765184"/>
      </c:barChart>
      <c:catAx>
        <c:axId val="253720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6765184"/>
        <c:crosses val="autoZero"/>
        <c:auto val="1"/>
        <c:lblAlgn val="ctr"/>
        <c:lblOffset val="100"/>
        <c:noMultiLvlLbl val="0"/>
      </c:catAx>
      <c:valAx>
        <c:axId val="196765184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537203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158750</xdr:colOff>
      <xdr:row>12</xdr:row>
      <xdr:rowOff>25400</xdr:rowOff>
    </xdr:from>
    <xdr:to>
      <xdr:col>10</xdr:col>
      <xdr:colOff>527050</xdr:colOff>
      <xdr:row>27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6</xdr:row>
      <xdr:rowOff>76200</xdr:rowOff>
    </xdr:from>
    <xdr:to>
      <xdr:col>15</xdr:col>
      <xdr:colOff>736600</xdr:colOff>
      <xdr:row>24</xdr:row>
      <xdr:rowOff>139700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38100</xdr:colOff>
      <xdr:row>6</xdr:row>
      <xdr:rowOff>152400</xdr:rowOff>
    </xdr:from>
    <xdr:to>
      <xdr:col>21</xdr:col>
      <xdr:colOff>457200</xdr:colOff>
      <xdr:row>23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146050</xdr:colOff>
      <xdr:row>5</xdr:row>
      <xdr:rowOff>190500</xdr:rowOff>
    </xdr:from>
    <xdr:to>
      <xdr:col>10</xdr:col>
      <xdr:colOff>514350</xdr:colOff>
      <xdr:row>22</xdr:row>
      <xdr:rowOff>50800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465C309-7F2C-4201-8241-6EB3EB234C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171450</xdr:colOff>
      <xdr:row>22</xdr:row>
      <xdr:rowOff>79375</xdr:rowOff>
    </xdr:from>
    <xdr:to>
      <xdr:col>9</xdr:col>
      <xdr:colOff>120650</xdr:colOff>
      <xdr:row>36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F99B77B-47CF-463B-97DB-E9B7DF61BC8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146050</xdr:colOff>
      <xdr:row>3</xdr:row>
      <xdr:rowOff>190500</xdr:rowOff>
    </xdr:from>
    <xdr:to>
      <xdr:col>10</xdr:col>
      <xdr:colOff>514350</xdr:colOff>
      <xdr:row>20</xdr:row>
      <xdr:rowOff>50800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C0DAD6-3990-4FA8-B381-2A48FBF849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171450</xdr:colOff>
      <xdr:row>20</xdr:row>
      <xdr:rowOff>79375</xdr:rowOff>
    </xdr:from>
    <xdr:to>
      <xdr:col>9</xdr:col>
      <xdr:colOff>120650</xdr:colOff>
      <xdr:row>34</xdr:row>
      <xdr:rowOff>66675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90ED1572-C86A-4EC3-A3BC-5D3EA23DC3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30"/>
  <sheetViews>
    <sheetView showRuler="0" topLeftCell="G1" zoomScale="125" zoomScaleNormal="125" zoomScalePageLayoutView="125" workbookViewId="0">
      <selection activeCell="P10" sqref="P10"/>
    </sheetView>
  </sheetViews>
  <sheetFormatPr defaultColWidth="10.6640625" defaultRowHeight="15.5" x14ac:dyDescent="0.35"/>
  <cols>
    <col min="1" max="1" width="2.6640625" bestFit="1" customWidth="1"/>
    <col min="2" max="4" width="12" bestFit="1" customWidth="1"/>
    <col min="5" max="5" width="4.33203125" customWidth="1"/>
    <col min="6" max="8" width="10.83203125" bestFit="1" customWidth="1"/>
    <col min="9" max="9" width="4.33203125" customWidth="1"/>
    <col min="10" max="10" width="16.33203125" customWidth="1"/>
    <col min="11" max="13" width="4.33203125" customWidth="1"/>
    <col min="14" max="14" width="3.5" customWidth="1"/>
    <col min="15" max="15" width="29.6640625" bestFit="1" customWidth="1"/>
    <col min="16" max="16" width="8.83203125" bestFit="1" customWidth="1"/>
    <col min="18" max="18" width="26" bestFit="1" customWidth="1"/>
    <col min="19" max="19" width="15.33203125" bestFit="1" customWidth="1"/>
  </cols>
  <sheetData>
    <row r="1" spans="1:24" ht="16" thickBot="1" x14ac:dyDescent="0.4">
      <c r="A1" s="1" t="s">
        <v>0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O1" s="3" t="s">
        <v>1</v>
      </c>
      <c r="P1" s="3" t="s">
        <v>73</v>
      </c>
      <c r="Q1" s="3" t="s">
        <v>74</v>
      </c>
      <c r="R1" s="46" t="s">
        <v>82</v>
      </c>
    </row>
    <row r="2" spans="1:24" x14ac:dyDescent="0.35">
      <c r="A2" s="4" t="s">
        <v>2</v>
      </c>
      <c r="B2" s="9" t="s">
        <v>29</v>
      </c>
      <c r="C2" s="9" t="s">
        <v>29</v>
      </c>
      <c r="D2" s="9" t="s">
        <v>29</v>
      </c>
      <c r="E2" s="6"/>
      <c r="F2" s="43" t="s">
        <v>92</v>
      </c>
      <c r="G2" s="43" t="s">
        <v>92</v>
      </c>
      <c r="H2" s="43" t="s">
        <v>92</v>
      </c>
      <c r="I2" s="5"/>
      <c r="J2" s="6" t="s">
        <v>68</v>
      </c>
      <c r="K2" s="6"/>
      <c r="L2" s="6"/>
      <c r="M2" s="6"/>
      <c r="O2" s="1" t="s">
        <v>97</v>
      </c>
      <c r="P2" s="7">
        <v>20000</v>
      </c>
      <c r="Q2" s="7">
        <v>20000</v>
      </c>
      <c r="R2" t="s">
        <v>100</v>
      </c>
    </row>
    <row r="3" spans="1:24" x14ac:dyDescent="0.35">
      <c r="A3" s="4" t="s">
        <v>4</v>
      </c>
      <c r="B3" s="8"/>
      <c r="C3" s="1"/>
      <c r="D3" s="9"/>
      <c r="E3" s="9"/>
      <c r="F3" s="9"/>
      <c r="G3" s="9"/>
      <c r="H3" s="9"/>
      <c r="I3" s="9"/>
      <c r="J3" s="9"/>
      <c r="K3" s="9"/>
      <c r="L3" s="10"/>
      <c r="M3" s="1"/>
      <c r="O3" s="1" t="s">
        <v>5</v>
      </c>
      <c r="P3" s="1">
        <v>0.2</v>
      </c>
      <c r="Q3" s="1">
        <v>0.2</v>
      </c>
      <c r="R3" t="s">
        <v>100</v>
      </c>
    </row>
    <row r="4" spans="1:24" x14ac:dyDescent="0.35">
      <c r="A4" s="4" t="s">
        <v>6</v>
      </c>
      <c r="B4" s="6"/>
      <c r="C4" s="6"/>
      <c r="D4" s="6"/>
      <c r="E4" s="9"/>
      <c r="F4" s="6"/>
      <c r="G4" s="6"/>
      <c r="H4" s="6"/>
      <c r="I4" s="9"/>
      <c r="J4" s="6"/>
      <c r="K4" s="6"/>
      <c r="L4" s="6"/>
      <c r="M4" s="1"/>
      <c r="O4" s="1" t="s">
        <v>7</v>
      </c>
      <c r="P4" s="7">
        <f>P2/P3</f>
        <v>100000</v>
      </c>
      <c r="Q4" s="7">
        <f>Q2/Q3</f>
        <v>100000</v>
      </c>
    </row>
    <row r="5" spans="1:24" ht="31" x14ac:dyDescent="0.35">
      <c r="A5" s="4" t="s">
        <v>8</v>
      </c>
      <c r="B5" s="43" t="s">
        <v>94</v>
      </c>
      <c r="C5" s="43" t="s">
        <v>94</v>
      </c>
      <c r="D5" s="43" t="s">
        <v>94</v>
      </c>
      <c r="E5" s="43"/>
      <c r="F5" s="44" t="s">
        <v>93</v>
      </c>
      <c r="G5" s="44" t="s">
        <v>93</v>
      </c>
      <c r="H5" s="44" t="s">
        <v>93</v>
      </c>
      <c r="I5" s="9"/>
      <c r="J5" s="6" t="s">
        <v>3</v>
      </c>
      <c r="K5" s="6"/>
      <c r="M5" s="1"/>
      <c r="O5" s="1" t="s">
        <v>9</v>
      </c>
      <c r="P5" s="1">
        <v>7</v>
      </c>
      <c r="Q5" s="1">
        <v>7</v>
      </c>
      <c r="R5" t="s">
        <v>100</v>
      </c>
    </row>
    <row r="6" spans="1:24" x14ac:dyDescent="0.35">
      <c r="A6" s="4" t="s">
        <v>10</v>
      </c>
      <c r="B6" s="8"/>
      <c r="C6" s="11"/>
      <c r="D6" s="9"/>
      <c r="E6" s="10"/>
      <c r="F6" s="9"/>
      <c r="G6" s="9"/>
      <c r="H6" s="9"/>
      <c r="I6" s="10"/>
      <c r="J6" s="10"/>
      <c r="K6" s="10"/>
      <c r="L6" s="10"/>
      <c r="M6" s="1"/>
      <c r="O6" s="1" t="s">
        <v>11</v>
      </c>
      <c r="P6" s="47">
        <v>2010000</v>
      </c>
      <c r="Q6" s="7">
        <v>210000</v>
      </c>
    </row>
    <row r="7" spans="1:24" x14ac:dyDescent="0.35">
      <c r="A7" s="4" t="s">
        <v>12</v>
      </c>
      <c r="B7" s="8"/>
      <c r="C7" s="10"/>
      <c r="D7" s="9"/>
      <c r="E7" s="10"/>
      <c r="F7" s="1"/>
      <c r="G7" s="10"/>
      <c r="H7" s="12"/>
      <c r="I7" s="10"/>
      <c r="J7" s="10"/>
      <c r="K7" s="10"/>
      <c r="L7" s="10"/>
      <c r="M7" s="1"/>
      <c r="O7" s="1" t="s">
        <v>13</v>
      </c>
      <c r="P7" s="48">
        <v>0.34799999999999998</v>
      </c>
      <c r="Q7" s="28">
        <v>3.5</v>
      </c>
      <c r="R7" s="14" t="s">
        <v>98</v>
      </c>
    </row>
    <row r="8" spans="1:24" x14ac:dyDescent="0.35">
      <c r="A8" s="4" t="s">
        <v>14</v>
      </c>
      <c r="B8" s="8"/>
      <c r="C8" s="11"/>
      <c r="D8" s="9"/>
      <c r="E8" s="9"/>
      <c r="F8" s="9"/>
      <c r="G8" s="9"/>
      <c r="H8" s="9"/>
      <c r="I8" s="1"/>
      <c r="J8" s="9"/>
      <c r="K8" s="9"/>
      <c r="L8" s="9"/>
      <c r="M8" s="9"/>
      <c r="O8" s="1" t="s">
        <v>15</v>
      </c>
      <c r="P8" s="48">
        <f>P5-P7</f>
        <v>6.6520000000000001</v>
      </c>
      <c r="Q8" s="28">
        <f>Q5-Q7</f>
        <v>3.5</v>
      </c>
      <c r="V8" s="14"/>
      <c r="X8" s="14"/>
    </row>
    <row r="9" spans="1:24" x14ac:dyDescent="0.35">
      <c r="A9" s="4" t="s">
        <v>16</v>
      </c>
      <c r="B9" s="8"/>
      <c r="C9" s="11"/>
      <c r="D9" s="9"/>
      <c r="E9" s="1"/>
      <c r="F9" s="1"/>
      <c r="G9" s="1"/>
      <c r="H9" s="7"/>
      <c r="I9" s="1"/>
      <c r="J9" s="1"/>
      <c r="K9" s="1"/>
      <c r="L9" s="1"/>
      <c r="M9" s="1"/>
      <c r="O9" s="1" t="s">
        <v>17</v>
      </c>
      <c r="P9" s="47">
        <v>81200</v>
      </c>
      <c r="Q9" s="7">
        <v>92500</v>
      </c>
      <c r="R9" t="s">
        <v>99</v>
      </c>
    </row>
    <row r="10" spans="1:24" x14ac:dyDescent="0.35">
      <c r="H10" s="14"/>
      <c r="O10" s="1" t="s">
        <v>18</v>
      </c>
      <c r="P10" s="47">
        <f>P9*0.2</f>
        <v>16240</v>
      </c>
      <c r="Q10" s="7">
        <f>Q9*0.2</f>
        <v>18500</v>
      </c>
    </row>
    <row r="15" spans="1:24" x14ac:dyDescent="0.35">
      <c r="C15" s="15"/>
      <c r="O15" t="s">
        <v>103</v>
      </c>
      <c r="P15" t="s">
        <v>20</v>
      </c>
    </row>
    <row r="16" spans="1:24" ht="16" thickBot="1" x14ac:dyDescent="0.4">
      <c r="A16" s="1" t="s">
        <v>0</v>
      </c>
      <c r="B16" s="2">
        <v>1</v>
      </c>
      <c r="C16" s="2">
        <v>2</v>
      </c>
      <c r="D16" s="2">
        <v>3</v>
      </c>
      <c r="E16" s="2">
        <v>4</v>
      </c>
      <c r="F16" s="2">
        <v>5</v>
      </c>
      <c r="G16" s="2">
        <v>6</v>
      </c>
      <c r="H16" s="2">
        <v>7</v>
      </c>
      <c r="I16" s="2">
        <v>8</v>
      </c>
      <c r="J16" s="2">
        <v>9</v>
      </c>
      <c r="K16" s="2">
        <v>10</v>
      </c>
      <c r="L16" s="2">
        <v>11</v>
      </c>
      <c r="M16" s="2">
        <v>12</v>
      </c>
      <c r="O16" s="3" t="s">
        <v>19</v>
      </c>
      <c r="P16" s="3" t="s">
        <v>73</v>
      </c>
      <c r="Q16" s="3" t="s">
        <v>74</v>
      </c>
      <c r="R16" s="46" t="s">
        <v>82</v>
      </c>
    </row>
    <row r="17" spans="1:18" x14ac:dyDescent="0.35">
      <c r="A17" s="4" t="s">
        <v>2</v>
      </c>
      <c r="B17" s="9" t="s">
        <v>29</v>
      </c>
      <c r="C17" s="9" t="s">
        <v>29</v>
      </c>
      <c r="D17" s="9" t="s">
        <v>29</v>
      </c>
      <c r="E17" s="6"/>
      <c r="F17" s="43" t="s">
        <v>92</v>
      </c>
      <c r="G17" s="43" t="s">
        <v>92</v>
      </c>
      <c r="H17" s="43" t="s">
        <v>92</v>
      </c>
      <c r="I17" s="5"/>
      <c r="J17" s="6" t="s">
        <v>68</v>
      </c>
      <c r="K17" s="6"/>
      <c r="L17" s="6"/>
      <c r="M17" s="6"/>
      <c r="O17" s="1" t="s">
        <v>21</v>
      </c>
      <c r="P17" s="17">
        <v>5</v>
      </c>
      <c r="Q17" s="17">
        <v>5</v>
      </c>
      <c r="R17" t="s">
        <v>100</v>
      </c>
    </row>
    <row r="18" spans="1:18" x14ac:dyDescent="0.35">
      <c r="A18" s="4" t="s">
        <v>4</v>
      </c>
      <c r="B18" s="8"/>
      <c r="C18" s="1"/>
      <c r="D18" s="9"/>
      <c r="E18" s="9"/>
      <c r="F18" s="9"/>
      <c r="G18" s="9"/>
      <c r="H18" s="9"/>
      <c r="I18" s="9"/>
      <c r="J18" s="9"/>
      <c r="K18" s="9"/>
      <c r="L18" s="10"/>
      <c r="M18" s="1"/>
      <c r="O18" s="1" t="s">
        <v>22</v>
      </c>
      <c r="P18" s="18">
        <f>P10</f>
        <v>16240</v>
      </c>
      <c r="Q18" s="18">
        <f>Q10</f>
        <v>18500</v>
      </c>
      <c r="R18" t="s">
        <v>101</v>
      </c>
    </row>
    <row r="19" spans="1:18" x14ac:dyDescent="0.35">
      <c r="A19" s="4" t="s">
        <v>6</v>
      </c>
      <c r="B19" s="6"/>
      <c r="C19" s="6"/>
      <c r="D19" s="6"/>
      <c r="E19" s="9"/>
      <c r="F19" s="6"/>
      <c r="G19" s="6"/>
      <c r="H19" s="6"/>
      <c r="I19" s="9"/>
      <c r="J19" s="6"/>
      <c r="K19" s="6"/>
      <c r="L19" s="6"/>
      <c r="M19" s="1"/>
      <c r="O19" s="1" t="s">
        <v>23</v>
      </c>
      <c r="P19" s="17">
        <v>0.05</v>
      </c>
      <c r="Q19" s="17">
        <v>0.05</v>
      </c>
      <c r="R19" t="s">
        <v>100</v>
      </c>
    </row>
    <row r="20" spans="1:18" ht="31" x14ac:dyDescent="0.35">
      <c r="A20" s="4" t="s">
        <v>8</v>
      </c>
      <c r="B20" s="43" t="s">
        <v>94</v>
      </c>
      <c r="C20" s="43" t="s">
        <v>94</v>
      </c>
      <c r="D20" s="43" t="s">
        <v>94</v>
      </c>
      <c r="E20" s="43"/>
      <c r="F20" s="44" t="s">
        <v>93</v>
      </c>
      <c r="G20" s="44" t="s">
        <v>93</v>
      </c>
      <c r="H20" s="44" t="s">
        <v>93</v>
      </c>
      <c r="I20" s="9"/>
      <c r="J20" s="6" t="s">
        <v>3</v>
      </c>
      <c r="K20" s="6"/>
      <c r="M20" s="1"/>
      <c r="O20" s="19" t="s">
        <v>24</v>
      </c>
      <c r="P20" s="18">
        <f>(P18*P17/P19)</f>
        <v>1624000</v>
      </c>
      <c r="Q20" s="18">
        <f>(Q18*Q17/Q19)</f>
        <v>1850000</v>
      </c>
    </row>
    <row r="21" spans="1:18" x14ac:dyDescent="0.35">
      <c r="A21" s="4" t="s">
        <v>10</v>
      </c>
      <c r="B21" s="8"/>
      <c r="C21" s="11"/>
      <c r="D21" s="9"/>
      <c r="E21" s="10"/>
      <c r="F21" s="9"/>
      <c r="G21" s="9"/>
      <c r="H21" s="9"/>
      <c r="I21" s="10"/>
      <c r="J21" s="10"/>
      <c r="K21" s="10"/>
      <c r="L21" s="10"/>
      <c r="M21" s="1"/>
      <c r="O21" s="1" t="s">
        <v>25</v>
      </c>
      <c r="P21" s="18">
        <v>5810000000</v>
      </c>
      <c r="Q21" s="18">
        <v>5810000000</v>
      </c>
      <c r="R21" t="s">
        <v>100</v>
      </c>
    </row>
    <row r="22" spans="1:18" x14ac:dyDescent="0.35">
      <c r="A22" s="4" t="s">
        <v>12</v>
      </c>
      <c r="B22" s="8"/>
      <c r="C22" s="10"/>
      <c r="D22" s="9"/>
      <c r="E22" s="10"/>
      <c r="F22" s="1"/>
      <c r="G22" s="10"/>
      <c r="H22" s="12"/>
      <c r="I22" s="10"/>
      <c r="J22" s="10"/>
      <c r="K22" s="10"/>
      <c r="L22" s="10"/>
      <c r="M22" s="1"/>
      <c r="O22" s="1" t="s">
        <v>26</v>
      </c>
      <c r="P22" s="20">
        <f>P20/P21</f>
        <v>2.7951807228915662E-4</v>
      </c>
      <c r="Q22" s="20">
        <f>Q20/Q21</f>
        <v>3.1841652323580036E-4</v>
      </c>
    </row>
    <row r="23" spans="1:18" x14ac:dyDescent="0.35">
      <c r="A23" s="4" t="s">
        <v>14</v>
      </c>
      <c r="B23" s="8"/>
      <c r="C23" s="11"/>
      <c r="D23" s="9"/>
      <c r="E23" s="9"/>
      <c r="F23" s="9"/>
      <c r="G23" s="9"/>
      <c r="H23" s="9"/>
      <c r="I23" s="1"/>
      <c r="J23" s="9"/>
      <c r="K23" s="9"/>
      <c r="L23" s="9"/>
      <c r="M23" s="9"/>
      <c r="O23" s="1" t="s">
        <v>27</v>
      </c>
      <c r="P23" s="49">
        <v>0.03</v>
      </c>
      <c r="Q23" s="21">
        <v>0.03</v>
      </c>
      <c r="R23" t="s">
        <v>102</v>
      </c>
    </row>
    <row r="24" spans="1:18" x14ac:dyDescent="0.35">
      <c r="A24" s="4" t="s">
        <v>16</v>
      </c>
      <c r="B24" s="8"/>
      <c r="C24" s="11"/>
      <c r="D24" s="9"/>
      <c r="E24" s="1"/>
      <c r="F24" s="1"/>
      <c r="G24" s="1"/>
      <c r="H24" s="7"/>
      <c r="I24" s="1"/>
      <c r="J24" s="1"/>
      <c r="K24" s="1"/>
      <c r="L24" s="1"/>
      <c r="M24" s="1"/>
      <c r="O24" s="1" t="s">
        <v>28</v>
      </c>
      <c r="P24" s="50">
        <v>2.9999999999999997E-4</v>
      </c>
      <c r="Q24" s="1">
        <f>Q23/100</f>
        <v>2.9999999999999997E-4</v>
      </c>
    </row>
    <row r="25" spans="1:18" x14ac:dyDescent="0.35">
      <c r="C25" s="15"/>
    </row>
    <row r="26" spans="1:18" x14ac:dyDescent="0.35">
      <c r="C26" s="15"/>
      <c r="G26" s="10">
        <v>1</v>
      </c>
      <c r="H26" s="9" t="s">
        <v>29</v>
      </c>
      <c r="P26" t="s">
        <v>0</v>
      </c>
    </row>
    <row r="27" spans="1:18" x14ac:dyDescent="0.35">
      <c r="G27" s="10">
        <v>2</v>
      </c>
      <c r="H27" s="43" t="s">
        <v>92</v>
      </c>
    </row>
    <row r="28" spans="1:18" ht="31" x14ac:dyDescent="0.35">
      <c r="G28" s="10">
        <v>3</v>
      </c>
      <c r="H28" s="43" t="s">
        <v>94</v>
      </c>
    </row>
    <row r="29" spans="1:18" x14ac:dyDescent="0.35">
      <c r="G29" s="10">
        <v>4</v>
      </c>
      <c r="H29" s="44" t="s">
        <v>93</v>
      </c>
      <c r="R29" s="14"/>
    </row>
    <row r="30" spans="1:18" x14ac:dyDescent="0.35">
      <c r="H30" s="45"/>
    </row>
  </sheetData>
  <phoneticPr fontId="4" type="noConversion"/>
  <pageMargins left="0.75" right="0.75" top="1" bottom="1" header="0.5" footer="0.5"/>
  <pageSetup scale="70" orientation="landscape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E2C9E9-999A-2442-A720-1488DBC0945B}">
  <dimension ref="A1:D9"/>
  <sheetViews>
    <sheetView workbookViewId="0">
      <selection activeCell="B16" sqref="B16"/>
    </sheetView>
  </sheetViews>
  <sheetFormatPr defaultColWidth="10.6640625" defaultRowHeight="15.5" x14ac:dyDescent="0.35"/>
  <cols>
    <col min="1" max="1" width="34.6640625" bestFit="1" customWidth="1"/>
    <col min="4" max="4" width="70.83203125" customWidth="1"/>
  </cols>
  <sheetData>
    <row r="1" spans="1:4" x14ac:dyDescent="0.35">
      <c r="B1" s="63" t="s">
        <v>76</v>
      </c>
      <c r="C1" s="63"/>
    </row>
    <row r="2" spans="1:4" x14ac:dyDescent="0.35">
      <c r="A2" s="22" t="s">
        <v>91</v>
      </c>
      <c r="B2" s="23" t="s">
        <v>78</v>
      </c>
      <c r="C2" s="23" t="s">
        <v>79</v>
      </c>
      <c r="D2" s="22" t="s">
        <v>82</v>
      </c>
    </row>
    <row r="3" spans="1:4" x14ac:dyDescent="0.35">
      <c r="A3" s="1" t="s">
        <v>77</v>
      </c>
      <c r="B3" s="17">
        <v>4</v>
      </c>
      <c r="C3" s="37"/>
      <c r="D3" s="1" t="s">
        <v>83</v>
      </c>
    </row>
    <row r="4" spans="1:4" x14ac:dyDescent="0.35">
      <c r="A4" s="1" t="s">
        <v>80</v>
      </c>
      <c r="B4" s="17">
        <v>0</v>
      </c>
      <c r="C4" s="37">
        <f>B3*2</f>
        <v>8</v>
      </c>
      <c r="D4" s="1" t="s">
        <v>84</v>
      </c>
    </row>
    <row r="5" spans="1:4" x14ac:dyDescent="0.35">
      <c r="A5" s="1" t="s">
        <v>81</v>
      </c>
      <c r="B5" s="17">
        <f>3*B3*2+2</f>
        <v>26</v>
      </c>
      <c r="C5" s="37"/>
      <c r="D5" s="1" t="s">
        <v>85</v>
      </c>
    </row>
    <row r="6" spans="1:4" ht="31" x14ac:dyDescent="0.35">
      <c r="A6" s="1" t="s">
        <v>86</v>
      </c>
      <c r="B6" s="17">
        <f>3*2*1+2</f>
        <v>8</v>
      </c>
      <c r="C6" s="37">
        <f>3*2*(B3-1)</f>
        <v>18</v>
      </c>
      <c r="D6" s="19" t="s">
        <v>96</v>
      </c>
    </row>
    <row r="7" spans="1:4" x14ac:dyDescent="0.35">
      <c r="A7" s="22" t="s">
        <v>87</v>
      </c>
      <c r="B7" s="32">
        <f>SUM(B3:B6)</f>
        <v>38</v>
      </c>
      <c r="C7" s="39">
        <f>SUM(C3:C6)</f>
        <v>26</v>
      </c>
      <c r="D7" s="1"/>
    </row>
    <row r="8" spans="1:4" x14ac:dyDescent="0.35">
      <c r="A8" s="1" t="s">
        <v>88</v>
      </c>
      <c r="B8" s="17">
        <f>B7/25</f>
        <v>1.52</v>
      </c>
      <c r="C8" s="37">
        <f>C7/20</f>
        <v>1.3</v>
      </c>
      <c r="D8" s="1" t="s">
        <v>90</v>
      </c>
    </row>
    <row r="9" spans="1:4" x14ac:dyDescent="0.35">
      <c r="A9" s="22" t="s">
        <v>89</v>
      </c>
      <c r="B9" s="32">
        <f>SUM(B8:C8)</f>
        <v>2.8200000000000003</v>
      </c>
      <c r="C9" s="38"/>
    </row>
  </sheetData>
  <mergeCells count="1">
    <mergeCell ref="B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91BB3C-F057-4DC1-A4BC-265ABDBB76EC}">
  <dimension ref="A1:M9"/>
  <sheetViews>
    <sheetView workbookViewId="0">
      <selection activeCell="G13" sqref="G13"/>
    </sheetView>
  </sheetViews>
  <sheetFormatPr defaultRowHeight="15.5" x14ac:dyDescent="0.35"/>
  <cols>
    <col min="2" max="2" width="13.5" customWidth="1"/>
    <col min="7" max="7" width="20.83203125" customWidth="1"/>
  </cols>
  <sheetData>
    <row r="1" spans="1:13" ht="16" thickBot="1" x14ac:dyDescent="0.4">
      <c r="A1" s="1" t="s">
        <v>0</v>
      </c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</row>
    <row r="2" spans="1:13" ht="31" x14ac:dyDescent="0.35">
      <c r="A2" s="4" t="s">
        <v>2</v>
      </c>
      <c r="B2" s="9" t="s">
        <v>95</v>
      </c>
      <c r="C2" s="9"/>
      <c r="D2" s="9"/>
      <c r="E2" s="6"/>
      <c r="F2" s="9"/>
      <c r="G2" s="9"/>
      <c r="H2" s="9"/>
      <c r="I2" s="5"/>
      <c r="J2" s="6"/>
      <c r="K2" s="6"/>
      <c r="L2" s="6"/>
      <c r="M2" s="6"/>
    </row>
    <row r="3" spans="1:13" x14ac:dyDescent="0.35">
      <c r="A3" s="4" t="s">
        <v>4</v>
      </c>
      <c r="B3" s="42" t="str">
        <f>"1:10 in PBS"</f>
        <v>1:10 in PBS</v>
      </c>
      <c r="C3" s="40"/>
      <c r="D3" s="41"/>
      <c r="E3" s="41"/>
      <c r="F3" s="9"/>
      <c r="G3" s="9"/>
      <c r="H3" s="9"/>
      <c r="I3" s="9"/>
      <c r="J3" s="9"/>
      <c r="K3" s="9"/>
      <c r="L3" s="10"/>
      <c r="M3" s="1"/>
    </row>
    <row r="4" spans="1:13" x14ac:dyDescent="0.35">
      <c r="A4" s="4" t="s">
        <v>6</v>
      </c>
      <c r="B4" s="42" t="str">
        <f>"1:100 in PBS"</f>
        <v>1:100 in PBS</v>
      </c>
      <c r="C4" s="42"/>
      <c r="D4" s="42"/>
      <c r="E4" s="41"/>
      <c r="F4" s="6"/>
      <c r="G4" s="6"/>
      <c r="H4" s="6"/>
      <c r="I4" s="9"/>
      <c r="J4" s="6"/>
      <c r="K4" s="6"/>
      <c r="L4" s="6"/>
      <c r="M4" s="1"/>
    </row>
    <row r="5" spans="1:13" x14ac:dyDescent="0.35">
      <c r="A5" s="4" t="s">
        <v>8</v>
      </c>
      <c r="B5" s="41" t="str">
        <f>"1:1000 in PBS"</f>
        <v>1:1000 in PBS</v>
      </c>
      <c r="C5" s="41"/>
      <c r="D5" s="41"/>
      <c r="E5" s="41"/>
      <c r="F5" s="6"/>
      <c r="G5" s="6"/>
      <c r="H5" s="6"/>
      <c r="I5" s="9"/>
      <c r="J5" s="6"/>
      <c r="K5" s="6"/>
      <c r="M5" s="1"/>
    </row>
    <row r="6" spans="1:13" x14ac:dyDescent="0.35">
      <c r="A6" s="4" t="s">
        <v>10</v>
      </c>
      <c r="B6" s="8"/>
      <c r="C6" s="11"/>
      <c r="D6" s="9"/>
      <c r="E6" s="10"/>
      <c r="F6" s="9"/>
      <c r="G6" s="9"/>
      <c r="H6" s="9"/>
      <c r="I6" s="10"/>
      <c r="J6" s="10"/>
      <c r="K6" s="10"/>
      <c r="L6" s="10"/>
      <c r="M6" s="1"/>
    </row>
    <row r="7" spans="1:13" x14ac:dyDescent="0.35">
      <c r="A7" s="4" t="s">
        <v>12</v>
      </c>
      <c r="B7" s="8"/>
      <c r="C7" s="10"/>
      <c r="D7" s="9"/>
      <c r="E7" s="10"/>
      <c r="F7" s="1"/>
      <c r="G7" s="10"/>
      <c r="H7" s="12"/>
      <c r="I7" s="10"/>
      <c r="J7" s="10"/>
      <c r="K7" s="10"/>
      <c r="L7" s="10"/>
      <c r="M7" s="1"/>
    </row>
    <row r="8" spans="1:13" x14ac:dyDescent="0.35">
      <c r="A8" s="4" t="s">
        <v>14</v>
      </c>
      <c r="B8" s="8"/>
      <c r="C8" s="11"/>
      <c r="D8" s="9"/>
      <c r="E8" s="9"/>
      <c r="F8" s="9"/>
      <c r="G8" s="9"/>
      <c r="H8" s="9"/>
      <c r="I8" s="1"/>
      <c r="J8" s="9"/>
      <c r="K8" s="9"/>
      <c r="L8" s="9"/>
      <c r="M8" s="9"/>
    </row>
    <row r="9" spans="1:13" x14ac:dyDescent="0.35">
      <c r="A9" s="4" t="s">
        <v>16</v>
      </c>
      <c r="B9" s="8"/>
      <c r="C9" s="11"/>
      <c r="D9" s="9"/>
      <c r="E9" s="1"/>
      <c r="F9" s="1"/>
      <c r="G9" s="1"/>
      <c r="H9" s="7"/>
      <c r="I9" s="1"/>
      <c r="J9" s="1"/>
      <c r="K9" s="1"/>
      <c r="L9" s="1"/>
      <c r="M9" s="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17"/>
  <sheetViews>
    <sheetView showRuler="0" topLeftCell="A7" workbookViewId="0">
      <selection activeCell="M9" activeCellId="3" sqref="M3 M5 M7 M9"/>
    </sheetView>
  </sheetViews>
  <sheetFormatPr defaultColWidth="10.6640625" defaultRowHeight="15.5" x14ac:dyDescent="0.35"/>
  <cols>
    <col min="1" max="1" width="19.33203125" customWidth="1"/>
    <col min="2" max="2" width="9" bestFit="1" customWidth="1"/>
    <col min="3" max="3" width="8.6640625" customWidth="1"/>
    <col min="4" max="5" width="6" bestFit="1" customWidth="1"/>
    <col min="6" max="6" width="6.1640625" bestFit="1" customWidth="1"/>
    <col min="7" max="7" width="8.1640625" bestFit="1" customWidth="1"/>
    <col min="8" max="9" width="9.33203125" bestFit="1" customWidth="1"/>
    <col min="10" max="10" width="10.1640625" customWidth="1"/>
    <col min="11" max="12" width="8.83203125" bestFit="1" customWidth="1"/>
    <col min="13" max="13" width="27.5" customWidth="1"/>
    <col min="14" max="14" width="10.1640625" bestFit="1" customWidth="1"/>
  </cols>
  <sheetData>
    <row r="1" spans="1:13" x14ac:dyDescent="0.35">
      <c r="A1" s="22" t="s">
        <v>30</v>
      </c>
      <c r="B1" s="23"/>
      <c r="C1" s="68"/>
      <c r="D1" s="68"/>
      <c r="E1" s="68"/>
      <c r="F1" s="68"/>
    </row>
    <row r="2" spans="1:13" ht="46.5" x14ac:dyDescent="0.35">
      <c r="A2" s="22"/>
      <c r="B2" s="24" t="s">
        <v>31</v>
      </c>
      <c r="C2" s="22">
        <v>1</v>
      </c>
      <c r="D2" s="22">
        <v>2</v>
      </c>
      <c r="E2" s="25">
        <v>3</v>
      </c>
      <c r="F2" s="22">
        <v>4</v>
      </c>
      <c r="G2" s="26" t="s">
        <v>32</v>
      </c>
      <c r="H2" s="26" t="s">
        <v>33</v>
      </c>
      <c r="I2" s="26" t="s">
        <v>34</v>
      </c>
      <c r="J2" s="26" t="s">
        <v>35</v>
      </c>
      <c r="K2" s="26" t="s">
        <v>47</v>
      </c>
      <c r="L2" s="26" t="s">
        <v>105</v>
      </c>
      <c r="M2" s="16" t="s">
        <v>75</v>
      </c>
    </row>
    <row r="3" spans="1:13" x14ac:dyDescent="0.35">
      <c r="A3" s="66" t="s">
        <v>29</v>
      </c>
      <c r="B3" s="27" t="s">
        <v>37</v>
      </c>
      <c r="C3" s="17"/>
      <c r="D3" s="17"/>
      <c r="E3" s="17"/>
      <c r="F3" s="17">
        <v>14</v>
      </c>
      <c r="G3" s="56">
        <v>1E-3</v>
      </c>
      <c r="H3" s="57">
        <f>F3/(G3*0.01)</f>
        <v>1400000</v>
      </c>
      <c r="I3" s="7">
        <f>AVERAGE(H3:H4)</f>
        <v>1250000</v>
      </c>
      <c r="J3" s="7">
        <f>STDEV(H3:H4)</f>
        <v>212132.03435596425</v>
      </c>
      <c r="K3" s="7">
        <f>I3*0.05</f>
        <v>62500</v>
      </c>
      <c r="L3" s="7">
        <f>J3*0.05</f>
        <v>10606.601717798214</v>
      </c>
      <c r="M3" s="54">
        <f>K3/16200</f>
        <v>3.8580246913580245</v>
      </c>
    </row>
    <row r="4" spans="1:13" x14ac:dyDescent="0.35">
      <c r="A4" s="67"/>
      <c r="B4" s="27" t="s">
        <v>39</v>
      </c>
      <c r="C4" s="17"/>
      <c r="D4" s="17"/>
      <c r="E4" s="17"/>
      <c r="F4" s="17">
        <v>11</v>
      </c>
      <c r="G4" s="56">
        <v>1E-3</v>
      </c>
      <c r="H4" s="57">
        <f t="shared" ref="H4:H10" si="0">F4/(G4*0.01)</f>
        <v>1100000</v>
      </c>
      <c r="I4" s="29"/>
      <c r="J4" s="29"/>
      <c r="K4" s="7"/>
      <c r="L4" s="7"/>
      <c r="M4" s="54"/>
    </row>
    <row r="5" spans="1:13" x14ac:dyDescent="0.35">
      <c r="A5" s="64" t="s">
        <v>92</v>
      </c>
      <c r="B5" s="27" t="s">
        <v>40</v>
      </c>
      <c r="C5" s="17"/>
      <c r="D5" s="17"/>
      <c r="E5" s="17">
        <v>111</v>
      </c>
      <c r="F5" s="17"/>
      <c r="G5" s="56">
        <v>0.01</v>
      </c>
      <c r="H5" s="57">
        <f>E5/(G5*0.01)</f>
        <v>1110000</v>
      </c>
      <c r="I5" s="7">
        <f>AVERAGE(H5:H6)</f>
        <v>1205000</v>
      </c>
      <c r="J5" s="7">
        <f>STDEV(H5:H6)</f>
        <v>134350.28842544404</v>
      </c>
      <c r="K5" s="7">
        <f>I5*0.05</f>
        <v>60250</v>
      </c>
      <c r="L5" s="7">
        <f>J5*0.05</f>
        <v>6717.5144212722025</v>
      </c>
      <c r="M5" s="54">
        <f t="shared" ref="M5:M9" si="1">K5/16200</f>
        <v>3.7191358024691357</v>
      </c>
    </row>
    <row r="6" spans="1:13" x14ac:dyDescent="0.35">
      <c r="A6" s="65"/>
      <c r="B6" s="27" t="s">
        <v>41</v>
      </c>
      <c r="C6" s="17"/>
      <c r="D6" s="17"/>
      <c r="E6" s="17"/>
      <c r="F6" s="17">
        <v>13</v>
      </c>
      <c r="G6" s="56">
        <v>1E-3</v>
      </c>
      <c r="H6" s="57">
        <f t="shared" si="0"/>
        <v>1300000</v>
      </c>
      <c r="I6" s="29"/>
      <c r="J6" s="29"/>
      <c r="K6" s="7"/>
      <c r="L6" s="7"/>
      <c r="M6" s="54"/>
    </row>
    <row r="7" spans="1:13" x14ac:dyDescent="0.35">
      <c r="A7" s="64" t="s">
        <v>94</v>
      </c>
      <c r="B7" s="27" t="s">
        <v>42</v>
      </c>
      <c r="C7" s="17"/>
      <c r="D7" s="17"/>
      <c r="E7" s="17"/>
      <c r="F7" s="17">
        <v>21</v>
      </c>
      <c r="G7" s="56">
        <v>1E-3</v>
      </c>
      <c r="H7" s="57">
        <f t="shared" si="0"/>
        <v>2100000</v>
      </c>
      <c r="I7" s="7">
        <f>AVERAGE(H7:H8)</f>
        <v>2200000</v>
      </c>
      <c r="J7" s="7">
        <f>STDEV(H7:H8)</f>
        <v>141421.35623730952</v>
      </c>
      <c r="K7" s="7">
        <f>I7*0.05</f>
        <v>110000</v>
      </c>
      <c r="L7" s="7">
        <f>J7*0.05</f>
        <v>7071.067811865476</v>
      </c>
      <c r="M7" s="54">
        <f t="shared" si="1"/>
        <v>6.7901234567901234</v>
      </c>
    </row>
    <row r="8" spans="1:13" x14ac:dyDescent="0.35">
      <c r="A8" s="65"/>
      <c r="B8" s="27" t="s">
        <v>43</v>
      </c>
      <c r="C8" s="17"/>
      <c r="D8" s="17"/>
      <c r="E8" s="17"/>
      <c r="F8" s="17">
        <v>23</v>
      </c>
      <c r="G8" s="56">
        <v>1E-3</v>
      </c>
      <c r="H8" s="57">
        <f t="shared" si="0"/>
        <v>2300000</v>
      </c>
      <c r="I8" s="29"/>
      <c r="J8" s="29"/>
      <c r="K8" s="7"/>
      <c r="L8" s="7"/>
      <c r="M8" s="54"/>
    </row>
    <row r="9" spans="1:13" ht="16" customHeight="1" x14ac:dyDescent="0.35">
      <c r="A9" s="66" t="s">
        <v>93</v>
      </c>
      <c r="B9" s="27" t="s">
        <v>44</v>
      </c>
      <c r="C9" s="17"/>
      <c r="D9" s="17"/>
      <c r="E9" s="17"/>
      <c r="F9" s="17">
        <v>18</v>
      </c>
      <c r="G9" s="56">
        <v>1E-3</v>
      </c>
      <c r="H9" s="57">
        <f t="shared" si="0"/>
        <v>1799999.9999999998</v>
      </c>
      <c r="I9" s="7">
        <f>AVERAGE(H9:H10)</f>
        <v>2200000</v>
      </c>
      <c r="J9" s="7">
        <f>STDEV(H9:H10)</f>
        <v>565685.42494923808</v>
      </c>
      <c r="K9" s="7">
        <f>I9*0.05</f>
        <v>110000</v>
      </c>
      <c r="L9" s="7">
        <f>J9*0.05</f>
        <v>28284.271247461904</v>
      </c>
      <c r="M9" s="54">
        <f t="shared" si="1"/>
        <v>6.7901234567901234</v>
      </c>
    </row>
    <row r="10" spans="1:13" x14ac:dyDescent="0.35">
      <c r="A10" s="67"/>
      <c r="B10" s="27" t="s">
        <v>45</v>
      </c>
      <c r="C10" s="17"/>
      <c r="D10" s="17"/>
      <c r="E10" s="17"/>
      <c r="F10" s="17">
        <v>26</v>
      </c>
      <c r="G10" s="56">
        <v>1E-3</v>
      </c>
      <c r="H10" s="57">
        <f t="shared" si="0"/>
        <v>2600000</v>
      </c>
      <c r="I10" s="29"/>
      <c r="J10" s="29"/>
      <c r="K10" s="7"/>
      <c r="L10" s="7"/>
      <c r="M10" s="28"/>
    </row>
    <row r="11" spans="1:13" x14ac:dyDescent="0.35">
      <c r="A11" s="1" t="s">
        <v>46</v>
      </c>
      <c r="B11" s="1"/>
      <c r="C11" s="1">
        <v>1</v>
      </c>
      <c r="D11" s="1">
        <f>C11/10</f>
        <v>0.1</v>
      </c>
      <c r="E11" s="1">
        <f>D11/10</f>
        <v>0.01</v>
      </c>
      <c r="F11" s="1">
        <f>E11/10</f>
        <v>1E-3</v>
      </c>
    </row>
    <row r="13" spans="1:13" x14ac:dyDescent="0.35">
      <c r="A13" s="1"/>
      <c r="B13" s="1" t="s">
        <v>47</v>
      </c>
      <c r="C13" s="1" t="s">
        <v>35</v>
      </c>
      <c r="L13" s="9"/>
    </row>
    <row r="14" spans="1:13" x14ac:dyDescent="0.35">
      <c r="A14" s="51" t="s">
        <v>29</v>
      </c>
      <c r="B14" s="7">
        <f>K3</f>
        <v>62500</v>
      </c>
      <c r="C14" s="7">
        <f>L3</f>
        <v>10606.601717798214</v>
      </c>
      <c r="L14" s="43"/>
    </row>
    <row r="15" spans="1:13" x14ac:dyDescent="0.35">
      <c r="A15" s="52" t="s">
        <v>92</v>
      </c>
      <c r="B15" s="7">
        <f>K5</f>
        <v>60250</v>
      </c>
      <c r="C15" s="7">
        <f>L5</f>
        <v>6717.5144212722025</v>
      </c>
      <c r="L15" s="43"/>
    </row>
    <row r="16" spans="1:13" x14ac:dyDescent="0.35">
      <c r="A16" s="52" t="s">
        <v>94</v>
      </c>
      <c r="B16" s="7">
        <f>K7</f>
        <v>110000</v>
      </c>
      <c r="C16" s="7">
        <f>L7</f>
        <v>7071.067811865476</v>
      </c>
      <c r="L16" s="44"/>
    </row>
    <row r="17" spans="1:3" x14ac:dyDescent="0.35">
      <c r="A17" s="53" t="s">
        <v>93</v>
      </c>
      <c r="B17" s="7">
        <f>K9</f>
        <v>110000</v>
      </c>
      <c r="C17" s="7">
        <f>L9</f>
        <v>28284.271247461904</v>
      </c>
    </row>
  </sheetData>
  <mergeCells count="5">
    <mergeCell ref="A5:A6"/>
    <mergeCell ref="A3:A4"/>
    <mergeCell ref="A7:A8"/>
    <mergeCell ref="A9:A10"/>
    <mergeCell ref="C1:F1"/>
  </mergeCells>
  <phoneticPr fontId="4" type="noConversion"/>
  <pageMargins left="0.75" right="0.75" top="1" bottom="1" header="0.5" footer="0.5"/>
  <pageSetup scale="60" orientation="portrait" horizontalDpi="4294967292" verticalDpi="4294967292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Y18"/>
  <sheetViews>
    <sheetView showRuler="0" workbookViewId="0">
      <selection activeCell="D18" sqref="D18"/>
    </sheetView>
  </sheetViews>
  <sheetFormatPr defaultColWidth="10.6640625" defaultRowHeight="15.5" x14ac:dyDescent="0.35"/>
  <cols>
    <col min="1" max="1" width="17.33203125" customWidth="1"/>
    <col min="2" max="2" width="5.5" bestFit="1" customWidth="1"/>
    <col min="3" max="4" width="7" bestFit="1" customWidth="1"/>
    <col min="5" max="5" width="8.1640625" bestFit="1" customWidth="1"/>
    <col min="6" max="6" width="7.83203125" bestFit="1" customWidth="1"/>
    <col min="7" max="7" width="8.83203125" bestFit="1" customWidth="1"/>
    <col min="8" max="8" width="8.1640625" customWidth="1"/>
    <col min="10" max="10" width="17" customWidth="1"/>
    <col min="11" max="12" width="8.83203125" bestFit="1" customWidth="1"/>
    <col min="13" max="13" width="7.6640625" bestFit="1" customWidth="1"/>
    <col min="14" max="14" width="6" bestFit="1" customWidth="1"/>
    <col min="15" max="15" width="7.33203125" bestFit="1" customWidth="1"/>
  </cols>
  <sheetData>
    <row r="1" spans="1:25" x14ac:dyDescent="0.35">
      <c r="A1" s="3"/>
      <c r="B1" s="3"/>
      <c r="E1" s="3"/>
      <c r="F1" s="3"/>
      <c r="G1" s="23"/>
      <c r="H1" s="23"/>
      <c r="I1" s="23"/>
      <c r="J1" s="30"/>
      <c r="K1" s="30"/>
      <c r="L1" s="31"/>
      <c r="M1" s="31"/>
    </row>
    <row r="2" spans="1:25" ht="46.5" x14ac:dyDescent="0.35">
      <c r="A2" s="22"/>
      <c r="B2" s="34" t="s">
        <v>48</v>
      </c>
      <c r="C2" s="34" t="s">
        <v>49</v>
      </c>
      <c r="D2" s="34" t="s">
        <v>50</v>
      </c>
      <c r="E2" s="16" t="s">
        <v>32</v>
      </c>
      <c r="F2" s="16" t="s">
        <v>51</v>
      </c>
      <c r="G2" s="16" t="s">
        <v>36</v>
      </c>
      <c r="H2" s="16" t="s">
        <v>60</v>
      </c>
      <c r="J2" s="1"/>
      <c r="K2" s="26" t="s">
        <v>52</v>
      </c>
      <c r="L2" s="22" t="s">
        <v>53</v>
      </c>
      <c r="M2" s="58" t="s">
        <v>54</v>
      </c>
      <c r="N2" s="34" t="s">
        <v>60</v>
      </c>
      <c r="O2" s="16" t="s">
        <v>61</v>
      </c>
    </row>
    <row r="3" spans="1:25" x14ac:dyDescent="0.35">
      <c r="A3" s="69" t="s">
        <v>29</v>
      </c>
      <c r="B3" s="10" t="s">
        <v>37</v>
      </c>
      <c r="C3" s="32">
        <v>4</v>
      </c>
      <c r="D3" s="32">
        <v>3</v>
      </c>
      <c r="E3" s="17">
        <v>1</v>
      </c>
      <c r="F3" s="29">
        <f t="shared" ref="F3:F14" si="0">AVERAGE(C3,D3)</f>
        <v>3.5</v>
      </c>
      <c r="G3" s="7">
        <f t="shared" ref="G3:G14" si="1">(F3/(0.05*E3))*0.2</f>
        <v>14</v>
      </c>
      <c r="H3" s="71">
        <f>TTEST(G3:G5,G3:G5,2,2)</f>
        <v>1</v>
      </c>
      <c r="I3" s="14"/>
      <c r="J3" s="9" t="s">
        <v>29</v>
      </c>
      <c r="K3" s="7">
        <f>AVERAGE(G3:G5)</f>
        <v>14</v>
      </c>
      <c r="L3" s="7">
        <f>STDEV(G3:G5)</f>
        <v>6</v>
      </c>
      <c r="M3" s="54">
        <v>3.8580246913580245</v>
      </c>
      <c r="N3" s="21"/>
      <c r="O3" s="13">
        <f>IF(K3/$K$3&gt;=1,K3/$K$3,-$K$3/K3)</f>
        <v>1</v>
      </c>
      <c r="R3" s="14"/>
      <c r="T3" s="14"/>
      <c r="U3" s="14"/>
      <c r="V3" s="14"/>
      <c r="W3" s="14"/>
      <c r="X3" s="14"/>
      <c r="Y3" s="14"/>
    </row>
    <row r="4" spans="1:25" x14ac:dyDescent="0.35">
      <c r="A4" s="69"/>
      <c r="B4" s="10" t="s">
        <v>39</v>
      </c>
      <c r="C4" s="32">
        <v>10</v>
      </c>
      <c r="D4" s="32">
        <v>0</v>
      </c>
      <c r="E4" s="17">
        <v>1</v>
      </c>
      <c r="F4" s="29">
        <f t="shared" si="0"/>
        <v>5</v>
      </c>
      <c r="G4" s="7">
        <f t="shared" si="1"/>
        <v>20</v>
      </c>
      <c r="H4" s="71"/>
      <c r="J4" s="43" t="s">
        <v>92</v>
      </c>
      <c r="K4" s="7">
        <f>AVERAGE(G6:G8)</f>
        <v>16.666666666666668</v>
      </c>
      <c r="L4" s="7">
        <f>STDEV(G6:G8)</f>
        <v>5.0332229568471645</v>
      </c>
      <c r="M4" s="54">
        <v>3.7191358024691357</v>
      </c>
      <c r="N4" s="21">
        <f>TTEST(G3:G5,G6:G8,2,2)</f>
        <v>0.58704963978705571</v>
      </c>
      <c r="O4" s="13">
        <f>IF(K4/$K$3&gt;=1,K4/$K$3,-$K$3/K4)</f>
        <v>1.1904761904761905</v>
      </c>
    </row>
    <row r="5" spans="1:25" x14ac:dyDescent="0.35">
      <c r="A5" s="69"/>
      <c r="B5" s="10" t="s">
        <v>62</v>
      </c>
      <c r="C5" s="32">
        <v>0</v>
      </c>
      <c r="D5" s="32">
        <v>4</v>
      </c>
      <c r="E5" s="17">
        <v>1</v>
      </c>
      <c r="F5" s="29">
        <f t="shared" si="0"/>
        <v>2</v>
      </c>
      <c r="G5" s="7">
        <f t="shared" si="1"/>
        <v>8</v>
      </c>
      <c r="H5" s="71"/>
      <c r="J5" s="43" t="s">
        <v>94</v>
      </c>
      <c r="K5" s="7">
        <f>AVERAGE(G10:G11)</f>
        <v>12</v>
      </c>
      <c r="L5" s="7">
        <f>STDEV(G10:G11)</f>
        <v>16.970562748477139</v>
      </c>
      <c r="M5" s="54">
        <v>6.7901234567901234</v>
      </c>
      <c r="N5" s="21">
        <f>TTEST(G3:G5,G10:G11,2,2)</f>
        <v>0.85427032924627877</v>
      </c>
      <c r="O5" s="13">
        <f>IF(K5/$K$3&gt;=1,K5/$K$3,-$K$3/K5)</f>
        <v>-1.1666666666666667</v>
      </c>
    </row>
    <row r="6" spans="1:25" ht="15" customHeight="1" x14ac:dyDescent="0.35">
      <c r="A6" s="70" t="s">
        <v>92</v>
      </c>
      <c r="B6" s="10" t="s">
        <v>40</v>
      </c>
      <c r="C6" s="32">
        <v>3</v>
      </c>
      <c r="D6" s="32">
        <v>5</v>
      </c>
      <c r="E6" s="17">
        <v>1</v>
      </c>
      <c r="F6" s="1">
        <f t="shared" si="0"/>
        <v>4</v>
      </c>
      <c r="G6" s="7">
        <f t="shared" si="1"/>
        <v>16</v>
      </c>
      <c r="H6" s="71">
        <f>TTEST(G6:G8,G3:G5,2,2)</f>
        <v>0.58704963978705571</v>
      </c>
      <c r="J6" s="43" t="s">
        <v>93</v>
      </c>
      <c r="K6" s="7">
        <f>AVERAGE(G12:G14)</f>
        <v>9.3333333333333339</v>
      </c>
      <c r="L6" s="7">
        <f>STDEV(G12:G14)</f>
        <v>1.1547005383792557</v>
      </c>
      <c r="M6" s="54">
        <v>6.7901234567901234</v>
      </c>
      <c r="N6" s="21">
        <f>TTEST(G3:G5,G12:G14,2,2)</f>
        <v>0.25643496454832654</v>
      </c>
      <c r="O6" s="13">
        <f>IF(K6/$K$3&gt;=1,K6/$K$3,-$K$3/K6)</f>
        <v>-1.5</v>
      </c>
    </row>
    <row r="7" spans="1:25" ht="15" customHeight="1" x14ac:dyDescent="0.35">
      <c r="A7" s="70"/>
      <c r="B7" s="10" t="s">
        <v>41</v>
      </c>
      <c r="C7" s="32">
        <v>1</v>
      </c>
      <c r="D7" s="32">
        <v>10</v>
      </c>
      <c r="E7" s="17">
        <v>1</v>
      </c>
      <c r="F7" s="1">
        <f t="shared" si="0"/>
        <v>5.5</v>
      </c>
      <c r="G7" s="7">
        <f t="shared" si="1"/>
        <v>22</v>
      </c>
      <c r="H7" s="71"/>
    </row>
    <row r="8" spans="1:25" x14ac:dyDescent="0.35">
      <c r="A8" s="70"/>
      <c r="B8" s="10" t="s">
        <v>65</v>
      </c>
      <c r="C8" s="32">
        <v>0</v>
      </c>
      <c r="D8" s="32">
        <v>6</v>
      </c>
      <c r="E8" s="17">
        <v>1</v>
      </c>
      <c r="F8" s="1">
        <f t="shared" si="0"/>
        <v>3</v>
      </c>
      <c r="G8" s="7">
        <f t="shared" si="1"/>
        <v>12</v>
      </c>
      <c r="H8" s="71"/>
    </row>
    <row r="9" spans="1:25" ht="15" customHeight="1" x14ac:dyDescent="0.35">
      <c r="A9" s="70" t="s">
        <v>94</v>
      </c>
      <c r="B9" s="10" t="s">
        <v>42</v>
      </c>
      <c r="C9" s="32">
        <v>3</v>
      </c>
      <c r="D9" s="32">
        <v>4</v>
      </c>
      <c r="E9" s="17">
        <v>1</v>
      </c>
      <c r="F9" s="1">
        <f t="shared" si="0"/>
        <v>3.5</v>
      </c>
      <c r="G9" s="7">
        <f t="shared" si="1"/>
        <v>14</v>
      </c>
      <c r="H9" s="71">
        <f>TTEST(G9:G11,G3:G5,2,2)</f>
        <v>0.87215816070661611</v>
      </c>
      <c r="J9" s="14"/>
    </row>
    <row r="10" spans="1:25" x14ac:dyDescent="0.35">
      <c r="A10" s="70"/>
      <c r="B10" s="10" t="s">
        <v>43</v>
      </c>
      <c r="C10" s="32">
        <v>6</v>
      </c>
      <c r="D10" s="32">
        <v>6</v>
      </c>
      <c r="E10" s="17">
        <v>1</v>
      </c>
      <c r="F10" s="1">
        <f t="shared" si="0"/>
        <v>6</v>
      </c>
      <c r="G10" s="7">
        <f t="shared" si="1"/>
        <v>24</v>
      </c>
      <c r="H10" s="71"/>
    </row>
    <row r="11" spans="1:25" ht="15" customHeight="1" x14ac:dyDescent="0.35">
      <c r="A11" s="70"/>
      <c r="B11" s="10" t="s">
        <v>63</v>
      </c>
      <c r="C11" s="59">
        <v>0</v>
      </c>
      <c r="D11" s="59">
        <v>0</v>
      </c>
      <c r="E11" s="17">
        <v>1</v>
      </c>
      <c r="F11" s="1">
        <f t="shared" si="0"/>
        <v>0</v>
      </c>
      <c r="G11" s="7">
        <f t="shared" si="1"/>
        <v>0</v>
      </c>
      <c r="H11" s="71"/>
    </row>
    <row r="12" spans="1:25" x14ac:dyDescent="0.35">
      <c r="A12" s="70" t="s">
        <v>93</v>
      </c>
      <c r="B12" s="10" t="s">
        <v>44</v>
      </c>
      <c r="C12" s="32">
        <v>2</v>
      </c>
      <c r="D12" s="32">
        <v>3</v>
      </c>
      <c r="E12" s="17">
        <v>1</v>
      </c>
      <c r="F12" s="1">
        <f t="shared" si="0"/>
        <v>2.5</v>
      </c>
      <c r="G12" s="7">
        <f t="shared" si="1"/>
        <v>10</v>
      </c>
      <c r="H12" s="71">
        <f>TTEST(G12:G14,G3:G5,2,2)</f>
        <v>0.25643496454832654</v>
      </c>
    </row>
    <row r="13" spans="1:25" ht="15" customHeight="1" x14ac:dyDescent="0.35">
      <c r="A13" s="70"/>
      <c r="B13" s="10" t="s">
        <v>45</v>
      </c>
      <c r="C13" s="32">
        <v>2</v>
      </c>
      <c r="D13" s="32">
        <v>3</v>
      </c>
      <c r="E13" s="17">
        <v>1</v>
      </c>
      <c r="F13" s="1">
        <f t="shared" si="0"/>
        <v>2.5</v>
      </c>
      <c r="G13" s="7">
        <f>(F13/(0.05*E13))*0.2</f>
        <v>10</v>
      </c>
      <c r="H13" s="71"/>
    </row>
    <row r="14" spans="1:25" x14ac:dyDescent="0.35">
      <c r="A14" s="70"/>
      <c r="B14" s="10" t="s">
        <v>64</v>
      </c>
      <c r="C14" s="32">
        <v>3</v>
      </c>
      <c r="D14" s="32">
        <v>1</v>
      </c>
      <c r="E14" s="17">
        <v>1</v>
      </c>
      <c r="F14" s="1">
        <f t="shared" si="0"/>
        <v>2</v>
      </c>
      <c r="G14" s="7">
        <f t="shared" si="1"/>
        <v>8</v>
      </c>
      <c r="H14" s="71"/>
    </row>
    <row r="15" spans="1:25" x14ac:dyDescent="0.35">
      <c r="A15" s="33" t="s">
        <v>71</v>
      </c>
      <c r="B15" s="10"/>
      <c r="C15" s="17"/>
      <c r="D15" s="17">
        <v>0</v>
      </c>
      <c r="E15" s="17">
        <v>1</v>
      </c>
      <c r="F15" s="1" t="s">
        <v>38</v>
      </c>
      <c r="G15" s="7" t="s">
        <v>38</v>
      </c>
    </row>
    <row r="16" spans="1:25" x14ac:dyDescent="0.35">
      <c r="A16" s="33" t="s">
        <v>72</v>
      </c>
      <c r="B16" s="10"/>
      <c r="C16" s="17"/>
      <c r="D16" s="17">
        <v>0</v>
      </c>
      <c r="E16" s="17">
        <v>1</v>
      </c>
      <c r="F16" s="1" t="s">
        <v>38</v>
      </c>
      <c r="G16" s="7" t="s">
        <v>38</v>
      </c>
      <c r="H16" s="14"/>
    </row>
    <row r="17" spans="1:8" x14ac:dyDescent="0.35">
      <c r="A17" s="36" t="s">
        <v>55</v>
      </c>
      <c r="H17" s="14"/>
    </row>
    <row r="18" spans="1:8" x14ac:dyDescent="0.35">
      <c r="A18" s="36" t="s">
        <v>56</v>
      </c>
    </row>
  </sheetData>
  <mergeCells count="8">
    <mergeCell ref="A3:A5"/>
    <mergeCell ref="A6:A8"/>
    <mergeCell ref="A9:A11"/>
    <mergeCell ref="A12:A14"/>
    <mergeCell ref="H6:H8"/>
    <mergeCell ref="H9:H11"/>
    <mergeCell ref="H12:H14"/>
    <mergeCell ref="H3:H5"/>
  </mergeCells>
  <phoneticPr fontId="4" type="noConversion"/>
  <pageMargins left="0.75" right="0.75" top="1" bottom="1" header="0.5" footer="0.5"/>
  <pageSetup scale="56" orientation="portrait" horizontalDpi="4294967292" verticalDpi="4294967292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V26"/>
  <sheetViews>
    <sheetView showRuler="0" topLeftCell="C1" workbookViewId="0">
      <selection activeCell="P6" sqref="P6:Q6"/>
    </sheetView>
  </sheetViews>
  <sheetFormatPr defaultColWidth="10.6640625" defaultRowHeight="15.5" x14ac:dyDescent="0.35"/>
  <cols>
    <col min="1" max="1" width="20.33203125" bestFit="1" customWidth="1"/>
    <col min="2" max="2" width="5.5" bestFit="1" customWidth="1"/>
    <col min="3" max="5" width="6" bestFit="1" customWidth="1"/>
    <col min="6" max="6" width="6" customWidth="1"/>
    <col min="7" max="9" width="6" bestFit="1" customWidth="1"/>
    <col min="10" max="10" width="6" customWidth="1"/>
    <col min="11" max="11" width="8.1640625" bestFit="1" customWidth="1"/>
    <col min="12" max="12" width="7.83203125" bestFit="1" customWidth="1"/>
    <col min="13" max="13" width="8.83203125" bestFit="1" customWidth="1"/>
    <col min="14" max="14" width="2.1640625" customWidth="1"/>
    <col min="15" max="15" width="17" bestFit="1" customWidth="1"/>
    <col min="16" max="17" width="8.83203125" bestFit="1" customWidth="1"/>
    <col min="18" max="18" width="7.6640625" bestFit="1" customWidth="1"/>
    <col min="19" max="19" width="7.1640625" bestFit="1" customWidth="1"/>
    <col min="20" max="20" width="8.5" bestFit="1" customWidth="1"/>
  </cols>
  <sheetData>
    <row r="1" spans="1:22" x14ac:dyDescent="0.35">
      <c r="A1" s="3" t="s">
        <v>0</v>
      </c>
      <c r="B1" s="3"/>
      <c r="C1" s="63" t="s">
        <v>57</v>
      </c>
      <c r="D1" s="63"/>
      <c r="E1" s="63"/>
      <c r="F1" s="34"/>
      <c r="G1" s="63" t="s">
        <v>58</v>
      </c>
      <c r="H1" s="63"/>
      <c r="I1" s="63"/>
      <c r="J1" s="23"/>
    </row>
    <row r="2" spans="1:22" ht="46.5" x14ac:dyDescent="0.35">
      <c r="A2" s="22"/>
      <c r="B2" s="22" t="s">
        <v>48</v>
      </c>
      <c r="C2" s="22">
        <v>1</v>
      </c>
      <c r="D2" s="22">
        <v>2</v>
      </c>
      <c r="E2" s="25">
        <v>3</v>
      </c>
      <c r="F2" s="25">
        <v>4</v>
      </c>
      <c r="G2" s="22">
        <v>1</v>
      </c>
      <c r="H2" s="22">
        <v>2</v>
      </c>
      <c r="I2" s="25">
        <v>3</v>
      </c>
      <c r="J2" s="25">
        <v>4</v>
      </c>
      <c r="K2" s="58" t="s">
        <v>32</v>
      </c>
      <c r="L2" s="58" t="s">
        <v>51</v>
      </c>
      <c r="M2" s="26" t="s">
        <v>36</v>
      </c>
      <c r="N2" s="35"/>
      <c r="O2" s="1"/>
      <c r="P2" s="26" t="s">
        <v>52</v>
      </c>
      <c r="Q2" s="22" t="s">
        <v>53</v>
      </c>
      <c r="R2" s="58" t="s">
        <v>54</v>
      </c>
      <c r="S2" s="16" t="s">
        <v>70</v>
      </c>
      <c r="T2" s="16" t="s">
        <v>61</v>
      </c>
    </row>
    <row r="3" spans="1:22" x14ac:dyDescent="0.35">
      <c r="A3" s="69" t="s">
        <v>29</v>
      </c>
      <c r="B3" s="10" t="s">
        <v>37</v>
      </c>
      <c r="C3" s="17"/>
      <c r="D3" s="17">
        <v>87</v>
      </c>
      <c r="E3" s="32"/>
      <c r="F3" s="32"/>
      <c r="G3" s="17"/>
      <c r="H3" s="17">
        <v>99</v>
      </c>
      <c r="I3" s="32"/>
      <c r="J3" s="32"/>
      <c r="K3" s="56">
        <v>0.1</v>
      </c>
      <c r="L3" s="55">
        <f>AVERAGE(D3,H3)</f>
        <v>93</v>
      </c>
      <c r="M3" s="7">
        <f>(L3/(0.01*K3))*0.2</f>
        <v>18600</v>
      </c>
      <c r="N3" s="14"/>
      <c r="O3" s="9" t="s">
        <v>29</v>
      </c>
      <c r="P3" s="7">
        <f>AVERAGE(M3:M5)</f>
        <v>24266.666666666668</v>
      </c>
      <c r="Q3" s="7">
        <f>STDEV(M3:M5)</f>
        <v>11953.799953710677</v>
      </c>
      <c r="R3" s="54">
        <v>3.8580246913580245</v>
      </c>
      <c r="S3" s="1"/>
      <c r="T3" s="13">
        <f>IF(P3/$P$3&gt;=1,P3/$P$3,-$P$3/P3)</f>
        <v>1</v>
      </c>
      <c r="V3" t="s">
        <v>107</v>
      </c>
    </row>
    <row r="4" spans="1:22" x14ac:dyDescent="0.35">
      <c r="A4" s="69"/>
      <c r="B4" s="10" t="s">
        <v>39</v>
      </c>
      <c r="C4" s="17"/>
      <c r="D4" s="17">
        <v>73</v>
      </c>
      <c r="E4" s="32"/>
      <c r="F4" s="32"/>
      <c r="G4" s="17"/>
      <c r="H4" s="17">
        <v>89</v>
      </c>
      <c r="I4" s="32"/>
      <c r="J4" s="32"/>
      <c r="K4" s="56">
        <v>0.1</v>
      </c>
      <c r="L4" s="55">
        <f>AVERAGE(D4,H4)</f>
        <v>81</v>
      </c>
      <c r="M4" s="7">
        <f>(L4/(0.01*K4))*0.2</f>
        <v>16200</v>
      </c>
      <c r="N4" s="14"/>
      <c r="O4" s="43" t="s">
        <v>92</v>
      </c>
      <c r="P4" s="7">
        <f>AVERAGE(M6:M8)</f>
        <v>0</v>
      </c>
      <c r="Q4" s="7">
        <f>STDEV(M6:M8)</f>
        <v>0</v>
      </c>
      <c r="R4" s="54">
        <v>3.7191358024691357</v>
      </c>
      <c r="S4" s="21">
        <f>TTEST(M3:M5,M6:M8,2,2)</f>
        <v>2.4535655383624507E-2</v>
      </c>
      <c r="T4" s="13" t="e">
        <f>IF(P4/$P$3&gt;=1,P4/$P$3,-$P$3/P4)</f>
        <v>#DIV/0!</v>
      </c>
      <c r="V4" t="s">
        <v>108</v>
      </c>
    </row>
    <row r="5" spans="1:22" x14ac:dyDescent="0.35">
      <c r="A5" s="69"/>
      <c r="B5" s="10" t="s">
        <v>62</v>
      </c>
      <c r="C5" s="56"/>
      <c r="D5" s="56"/>
      <c r="E5" s="60">
        <v>17</v>
      </c>
      <c r="F5" s="60"/>
      <c r="G5" s="56"/>
      <c r="H5" s="56"/>
      <c r="I5" s="60">
        <v>21</v>
      </c>
      <c r="J5" s="60"/>
      <c r="K5" s="56">
        <v>0.01</v>
      </c>
      <c r="L5" s="55">
        <f>AVERAGE(E5,I5)</f>
        <v>19</v>
      </c>
      <c r="M5" s="7">
        <f>(L5/(0.01*K5))*0.2</f>
        <v>38000</v>
      </c>
      <c r="N5" s="14"/>
      <c r="O5" s="43" t="s">
        <v>94</v>
      </c>
      <c r="P5" s="7">
        <f>AVERAGE(M9:M11)</f>
        <v>5233.333333333333</v>
      </c>
      <c r="Q5" s="7">
        <f>STDEV(M9:M11)</f>
        <v>3231.6146634976972</v>
      </c>
      <c r="R5" s="54">
        <v>6.7901234567901234</v>
      </c>
      <c r="S5" s="21">
        <f>TTEST(M3:M5,M9:M11,2,2)</f>
        <v>5.6256957058847604E-2</v>
      </c>
      <c r="T5" s="13">
        <f>IF(P5/$P$3&gt;=1,P5/$P$3,-$P$3/P5)</f>
        <v>-4.6369426751592364</v>
      </c>
    </row>
    <row r="6" spans="1:22" x14ac:dyDescent="0.35">
      <c r="A6" s="70" t="s">
        <v>104</v>
      </c>
      <c r="B6" s="10" t="s">
        <v>40</v>
      </c>
      <c r="C6" s="56">
        <v>0</v>
      </c>
      <c r="D6" s="56"/>
      <c r="E6" s="60"/>
      <c r="F6" s="60"/>
      <c r="G6" s="56">
        <v>0</v>
      </c>
      <c r="H6" s="56"/>
      <c r="I6" s="60"/>
      <c r="J6" s="60"/>
      <c r="K6" s="56">
        <v>1</v>
      </c>
      <c r="L6" s="55">
        <f>AVERAGE(C6,G6)</f>
        <v>0</v>
      </c>
      <c r="M6" s="7">
        <f>(L6/(0.05*K6))*0.2</f>
        <v>0</v>
      </c>
      <c r="N6" s="14"/>
      <c r="O6" s="43" t="s">
        <v>93</v>
      </c>
      <c r="P6" s="7">
        <f>AVERAGE(M12:M14)</f>
        <v>360</v>
      </c>
      <c r="Q6" s="7">
        <f>STDEV(M12:M14)</f>
        <v>404.47496832313368</v>
      </c>
      <c r="R6" s="54">
        <v>6.7901234567901234</v>
      </c>
      <c r="S6" s="21">
        <f>TTEST(M3:M5,M12:M14,2,2)</f>
        <v>2.5771082759042788E-2</v>
      </c>
      <c r="T6" s="13">
        <f>IF(P6/$P$3&gt;=1,P6/$P$3,-$P$3/P6)</f>
        <v>-67.407407407407405</v>
      </c>
      <c r="V6" s="14"/>
    </row>
    <row r="7" spans="1:22" ht="15" customHeight="1" x14ac:dyDescent="0.35">
      <c r="A7" s="70"/>
      <c r="B7" s="10" t="s">
        <v>41</v>
      </c>
      <c r="C7" s="56">
        <v>0</v>
      </c>
      <c r="D7" s="56"/>
      <c r="E7" s="60"/>
      <c r="F7" s="60"/>
      <c r="G7" s="56">
        <v>0</v>
      </c>
      <c r="H7" s="56"/>
      <c r="I7" s="60"/>
      <c r="J7" s="60"/>
      <c r="K7" s="56">
        <v>1</v>
      </c>
      <c r="L7" s="55">
        <f t="shared" ref="L7:L8" si="0">AVERAGE(C7,G7)</f>
        <v>0</v>
      </c>
      <c r="M7" s="7">
        <f>(L7/(0.05*K7))*0.2</f>
        <v>0</v>
      </c>
      <c r="N7" s="14"/>
    </row>
    <row r="8" spans="1:22" ht="15" customHeight="1" x14ac:dyDescent="0.35">
      <c r="A8" s="70"/>
      <c r="B8" s="10" t="s">
        <v>65</v>
      </c>
      <c r="C8" s="56">
        <v>0</v>
      </c>
      <c r="D8" s="56"/>
      <c r="E8" s="60"/>
      <c r="F8" s="60"/>
      <c r="G8" s="56">
        <v>0</v>
      </c>
      <c r="H8" s="56"/>
      <c r="I8" s="60"/>
      <c r="J8" s="60"/>
      <c r="K8" s="56">
        <v>1</v>
      </c>
      <c r="L8" s="55">
        <f t="shared" si="0"/>
        <v>0</v>
      </c>
      <c r="M8" s="7">
        <f>(L8/(0.05*K8))*0.2</f>
        <v>0</v>
      </c>
      <c r="N8" s="14"/>
    </row>
    <row r="9" spans="1:22" ht="15" customHeight="1" x14ac:dyDescent="0.35">
      <c r="A9" s="70" t="s">
        <v>94</v>
      </c>
      <c r="B9" s="10" t="s">
        <v>42</v>
      </c>
      <c r="C9" s="56"/>
      <c r="D9" s="60">
        <v>15</v>
      </c>
      <c r="E9" s="56"/>
      <c r="F9" s="56"/>
      <c r="G9" s="61"/>
      <c r="H9" s="60">
        <v>10</v>
      </c>
      <c r="I9" s="56"/>
      <c r="J9" s="56"/>
      <c r="K9" s="56">
        <v>0.1</v>
      </c>
      <c r="L9" s="50">
        <f>AVERAGE(D9,H9)</f>
        <v>12.5</v>
      </c>
      <c r="M9" s="7">
        <f t="shared" ref="M9:M11" si="1">(L9/(0.01*K9))*0.2</f>
        <v>2500</v>
      </c>
      <c r="N9" s="14"/>
    </row>
    <row r="10" spans="1:22" x14ac:dyDescent="0.35">
      <c r="A10" s="70"/>
      <c r="B10" s="10" t="s">
        <v>43</v>
      </c>
      <c r="C10" s="56"/>
      <c r="D10" s="60">
        <v>53</v>
      </c>
      <c r="E10" s="56"/>
      <c r="F10" s="56"/>
      <c r="G10" s="56"/>
      <c r="H10" s="60">
        <v>35</v>
      </c>
      <c r="I10" s="56"/>
      <c r="J10" s="56"/>
      <c r="K10" s="56">
        <v>0.1</v>
      </c>
      <c r="L10" s="50">
        <f t="shared" ref="L10:L11" si="2">AVERAGE(D10,H10)</f>
        <v>44</v>
      </c>
      <c r="M10" s="7">
        <f t="shared" si="1"/>
        <v>8800</v>
      </c>
      <c r="N10" s="14"/>
    </row>
    <row r="11" spans="1:22" ht="15" customHeight="1" x14ac:dyDescent="0.35">
      <c r="A11" s="70"/>
      <c r="B11" s="10" t="s">
        <v>63</v>
      </c>
      <c r="C11" s="56"/>
      <c r="D11" s="60">
        <v>23</v>
      </c>
      <c r="E11" s="56"/>
      <c r="F11" s="56"/>
      <c r="G11" s="56"/>
      <c r="H11" s="60">
        <v>21</v>
      </c>
      <c r="I11" s="56"/>
      <c r="J11" s="56"/>
      <c r="K11" s="56">
        <v>0.1</v>
      </c>
      <c r="L11" s="50">
        <f t="shared" si="2"/>
        <v>22</v>
      </c>
      <c r="M11" s="7">
        <f t="shared" si="1"/>
        <v>4400</v>
      </c>
      <c r="N11" s="14"/>
    </row>
    <row r="12" spans="1:22" ht="16" customHeight="1" x14ac:dyDescent="0.35">
      <c r="A12" s="70" t="s">
        <v>93</v>
      </c>
      <c r="B12" s="10" t="s">
        <v>44</v>
      </c>
      <c r="C12" s="60">
        <v>3</v>
      </c>
      <c r="D12" s="56"/>
      <c r="E12" s="60"/>
      <c r="F12" s="60"/>
      <c r="G12" s="62">
        <v>3</v>
      </c>
      <c r="H12" s="56"/>
      <c r="I12" s="60"/>
      <c r="J12" s="60"/>
      <c r="K12" s="56">
        <v>1</v>
      </c>
      <c r="L12" s="50">
        <f>AVERAGE(C12,G12)</f>
        <v>3</v>
      </c>
      <c r="M12" s="7">
        <f>(L12/(0.01*K12))*0.2</f>
        <v>60</v>
      </c>
      <c r="N12" s="14"/>
    </row>
    <row r="13" spans="1:22" ht="15" customHeight="1" x14ac:dyDescent="0.35">
      <c r="A13" s="70"/>
      <c r="B13" s="10" t="s">
        <v>45</v>
      </c>
      <c r="C13" s="60">
        <v>8</v>
      </c>
      <c r="D13" s="56"/>
      <c r="E13" s="60"/>
      <c r="F13" s="60"/>
      <c r="G13" s="60">
        <v>12</v>
      </c>
      <c r="H13" s="56"/>
      <c r="I13" s="60"/>
      <c r="J13" s="60"/>
      <c r="K13" s="56">
        <v>1</v>
      </c>
      <c r="L13" s="50">
        <f t="shared" ref="L13:L14" si="3">AVERAGE(C13,G13)</f>
        <v>10</v>
      </c>
      <c r="M13" s="7">
        <f>(L13/(0.01*K13))*0.2</f>
        <v>200</v>
      </c>
      <c r="N13" s="14"/>
    </row>
    <row r="14" spans="1:22" x14ac:dyDescent="0.35">
      <c r="A14" s="70"/>
      <c r="B14" s="10" t="s">
        <v>64</v>
      </c>
      <c r="C14" s="60">
        <v>32</v>
      </c>
      <c r="D14" s="60"/>
      <c r="E14" s="60"/>
      <c r="F14" s="60"/>
      <c r="G14" s="60">
        <v>50</v>
      </c>
      <c r="H14" s="60"/>
      <c r="I14" s="60"/>
      <c r="J14" s="60"/>
      <c r="K14" s="56">
        <v>1</v>
      </c>
      <c r="L14" s="50">
        <f t="shared" si="3"/>
        <v>41</v>
      </c>
      <c r="M14" s="7">
        <f>(L14/(0.01*K14))*0.2</f>
        <v>820</v>
      </c>
      <c r="N14" s="14"/>
    </row>
    <row r="15" spans="1:22" x14ac:dyDescent="0.35">
      <c r="A15" s="33" t="s">
        <v>66</v>
      </c>
      <c r="B15" s="10"/>
      <c r="C15" s="56">
        <v>0</v>
      </c>
      <c r="D15" s="56" t="s">
        <v>38</v>
      </c>
      <c r="E15" s="56" t="s">
        <v>38</v>
      </c>
      <c r="F15" s="56"/>
      <c r="G15" s="56" t="s">
        <v>38</v>
      </c>
      <c r="H15" s="56" t="s">
        <v>38</v>
      </c>
      <c r="I15" s="56" t="s">
        <v>38</v>
      </c>
      <c r="J15" s="56"/>
      <c r="K15" s="56">
        <v>1</v>
      </c>
      <c r="L15" s="29">
        <v>0</v>
      </c>
      <c r="M15" s="7">
        <f>(L15/(0.1*K15))*0.2</f>
        <v>0</v>
      </c>
      <c r="N15" s="14"/>
    </row>
    <row r="16" spans="1:22" x14ac:dyDescent="0.35">
      <c r="A16" s="33" t="s">
        <v>67</v>
      </c>
      <c r="B16" s="10"/>
      <c r="C16" s="56">
        <v>0</v>
      </c>
      <c r="D16" s="56" t="s">
        <v>38</v>
      </c>
      <c r="E16" s="56" t="s">
        <v>38</v>
      </c>
      <c r="F16" s="56"/>
      <c r="G16" s="56" t="s">
        <v>38</v>
      </c>
      <c r="H16" s="56" t="s">
        <v>38</v>
      </c>
      <c r="I16" s="56" t="s">
        <v>38</v>
      </c>
      <c r="J16" s="56"/>
      <c r="K16" s="56">
        <v>1</v>
      </c>
      <c r="L16" s="29">
        <f>AVERAGE(C16)</f>
        <v>0</v>
      </c>
      <c r="M16" s="7">
        <f>(L16/(0.1*K16))*0.2</f>
        <v>0</v>
      </c>
      <c r="N16" s="14"/>
    </row>
    <row r="17" spans="1:14" x14ac:dyDescent="0.35">
      <c r="A17" s="1" t="s">
        <v>46</v>
      </c>
      <c r="B17" s="1"/>
      <c r="C17" s="1">
        <v>1</v>
      </c>
      <c r="D17" s="1">
        <f>C17/10</f>
        <v>0.1</v>
      </c>
      <c r="E17" s="1">
        <f>D17/10</f>
        <v>0.01</v>
      </c>
      <c r="F17" s="1">
        <v>1E-3</v>
      </c>
      <c r="G17" s="1">
        <v>1</v>
      </c>
      <c r="H17" s="1">
        <f>G17/10</f>
        <v>0.1</v>
      </c>
      <c r="I17" s="1">
        <f>H17/10</f>
        <v>0.01</v>
      </c>
      <c r="J17">
        <v>1E-3</v>
      </c>
      <c r="M17" s="14"/>
      <c r="N17" s="14"/>
    </row>
    <row r="18" spans="1:14" x14ac:dyDescent="0.35">
      <c r="A18" s="72" t="s">
        <v>69</v>
      </c>
      <c r="B18" s="72"/>
      <c r="C18" s="72"/>
    </row>
    <row r="19" spans="1:14" x14ac:dyDescent="0.35">
      <c r="A19" s="72" t="s">
        <v>59</v>
      </c>
      <c r="B19" s="72"/>
      <c r="C19" s="72"/>
      <c r="D19" s="36"/>
    </row>
    <row r="20" spans="1:14" x14ac:dyDescent="0.35">
      <c r="A20" t="s">
        <v>106</v>
      </c>
    </row>
    <row r="25" spans="1:14" x14ac:dyDescent="0.35">
      <c r="I25" s="14"/>
      <c r="J25" s="14"/>
    </row>
    <row r="26" spans="1:14" x14ac:dyDescent="0.35">
      <c r="I26" s="14"/>
      <c r="J26" s="14"/>
    </row>
  </sheetData>
  <mergeCells count="8">
    <mergeCell ref="A19:C19"/>
    <mergeCell ref="A18:C18"/>
    <mergeCell ref="A12:A14"/>
    <mergeCell ref="C1:E1"/>
    <mergeCell ref="G1:I1"/>
    <mergeCell ref="A3:A5"/>
    <mergeCell ref="A6:A8"/>
    <mergeCell ref="A9:A11"/>
  </mergeCells>
  <phoneticPr fontId="4" type="noConversion"/>
  <pageMargins left="0.75" right="0.75" top="1" bottom="1" header="0.5" footer="0.5"/>
  <pageSetup scale="46" orientation="portrait" horizontalDpi="4294967292" verticalDpi="4294967292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95CCF-29FA-4C39-81E5-A0F80E7A05AE}">
  <dimension ref="A1:K5"/>
  <sheetViews>
    <sheetView workbookViewId="0">
      <selection activeCell="D5" sqref="D5:E5"/>
    </sheetView>
  </sheetViews>
  <sheetFormatPr defaultRowHeight="15.5" x14ac:dyDescent="0.35"/>
  <sheetData>
    <row r="1" spans="1:11" x14ac:dyDescent="0.35">
      <c r="B1" t="s">
        <v>109</v>
      </c>
      <c r="C1" t="s">
        <v>53</v>
      </c>
      <c r="D1" t="s">
        <v>110</v>
      </c>
      <c r="E1" t="s">
        <v>53</v>
      </c>
      <c r="F1" t="s">
        <v>111</v>
      </c>
      <c r="J1" t="s">
        <v>112</v>
      </c>
      <c r="K1" t="s">
        <v>113</v>
      </c>
    </row>
    <row r="2" spans="1:11" x14ac:dyDescent="0.35">
      <c r="A2" t="s">
        <v>29</v>
      </c>
      <c r="B2">
        <v>14</v>
      </c>
      <c r="C2">
        <v>6</v>
      </c>
      <c r="D2">
        <v>24266.666666666668</v>
      </c>
      <c r="E2">
        <v>11953.799953710677</v>
      </c>
      <c r="F2">
        <f>D2/B2</f>
        <v>1733.3333333333335</v>
      </c>
      <c r="J2">
        <f>(22*60)/(3.3*LOG(D2/B2))</f>
        <v>123.49940165125923</v>
      </c>
      <c r="K2">
        <v>135.25858440136165</v>
      </c>
    </row>
    <row r="3" spans="1:11" x14ac:dyDescent="0.35">
      <c r="A3" t="s">
        <v>92</v>
      </c>
      <c r="B3">
        <v>16.666666666666668</v>
      </c>
      <c r="C3">
        <v>5.0332229568471645</v>
      </c>
      <c r="D3">
        <v>0</v>
      </c>
      <c r="E3">
        <v>0</v>
      </c>
      <c r="F3" t="e">
        <f>-B3/D3</f>
        <v>#DIV/0!</v>
      </c>
    </row>
    <row r="4" spans="1:11" x14ac:dyDescent="0.35">
      <c r="A4" t="s">
        <v>94</v>
      </c>
      <c r="B4">
        <v>12</v>
      </c>
      <c r="C4">
        <v>16.970562748477139</v>
      </c>
      <c r="D4">
        <v>5233.333333333333</v>
      </c>
      <c r="E4">
        <v>3231.6146634976972</v>
      </c>
      <c r="F4">
        <f>D4/B4</f>
        <v>436.11111111111109</v>
      </c>
      <c r="J4">
        <f t="shared" ref="J4:J5" si="0">(22*60)/(3.3*LOG(D4/B4))</f>
        <v>151.53827535810996</v>
      </c>
    </row>
    <row r="5" spans="1:11" x14ac:dyDescent="0.35">
      <c r="A5" t="s">
        <v>93</v>
      </c>
      <c r="B5">
        <v>9.3333333333333339</v>
      </c>
      <c r="C5">
        <v>1.1547005383792557</v>
      </c>
      <c r="D5">
        <v>360</v>
      </c>
      <c r="E5">
        <v>404.47496832313368</v>
      </c>
      <c r="F5">
        <f>D5/B5</f>
        <v>38.571428571428569</v>
      </c>
      <c r="J5">
        <f t="shared" si="0"/>
        <v>252.16456102628624</v>
      </c>
      <c r="K5">
        <v>179.39775137413747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F5971-34E3-49FC-BC1C-430898E3A667}">
  <dimension ref="A1:K3"/>
  <sheetViews>
    <sheetView tabSelected="1" workbookViewId="0">
      <selection activeCell="M12" sqref="M12"/>
    </sheetView>
  </sheetViews>
  <sheetFormatPr defaultRowHeight="15.5" x14ac:dyDescent="0.35"/>
  <sheetData>
    <row r="1" spans="1:11" x14ac:dyDescent="0.35">
      <c r="B1" t="s">
        <v>109</v>
      </c>
      <c r="C1" t="s">
        <v>53</v>
      </c>
      <c r="D1" t="s">
        <v>110</v>
      </c>
      <c r="E1" t="s">
        <v>53</v>
      </c>
      <c r="F1" t="s">
        <v>111</v>
      </c>
      <c r="J1" t="s">
        <v>112</v>
      </c>
      <c r="K1" t="s">
        <v>113</v>
      </c>
    </row>
    <row r="2" spans="1:11" x14ac:dyDescent="0.35">
      <c r="A2" t="s">
        <v>29</v>
      </c>
      <c r="B2">
        <v>14</v>
      </c>
      <c r="C2">
        <v>6</v>
      </c>
      <c r="D2">
        <v>24266.666666666668</v>
      </c>
      <c r="E2">
        <v>11953.799953710677</v>
      </c>
      <c r="F2">
        <f>D2/B2</f>
        <v>1733.3333333333335</v>
      </c>
      <c r="J2">
        <f>(22*60)/(3.3*LOG(D2/B2))</f>
        <v>123.49940165125923</v>
      </c>
      <c r="K2">
        <v>135.25858440136165</v>
      </c>
    </row>
    <row r="3" spans="1:11" x14ac:dyDescent="0.35">
      <c r="A3" t="s">
        <v>93</v>
      </c>
      <c r="B3">
        <v>9.3333333333333339</v>
      </c>
      <c r="C3">
        <v>1.1547005383792557</v>
      </c>
      <c r="D3">
        <v>360</v>
      </c>
      <c r="E3">
        <v>404.47496832313368</v>
      </c>
      <c r="F3">
        <f>D3/B3</f>
        <v>38.571428571428569</v>
      </c>
      <c r="J3">
        <f t="shared" ref="J3" si="0">(22*60)/(3.3*LOG(D3/B3))</f>
        <v>252.16456102628624</v>
      </c>
      <c r="K3">
        <v>179.39775137413747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ExperimentalSetup</vt:lpstr>
      <vt:lpstr>Plate Needs</vt:lpstr>
      <vt:lpstr>Inoculum Setup</vt:lpstr>
      <vt:lpstr>Inoculum</vt:lpstr>
      <vt:lpstr>T=2</vt:lpstr>
      <vt:lpstr>T=24</vt:lpstr>
      <vt:lpstr>2 vs 24</vt:lpstr>
      <vt:lpstr>2 vs 24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Kathryn Levasseur</dc:creator>
  <cp:lastModifiedBy>hanna</cp:lastModifiedBy>
  <cp:lastPrinted>2019-03-13T17:50:00Z</cp:lastPrinted>
  <dcterms:created xsi:type="dcterms:W3CDTF">2016-02-15T21:32:37Z</dcterms:created>
  <dcterms:modified xsi:type="dcterms:W3CDTF">2019-10-15T15:43:30Z</dcterms:modified>
</cp:coreProperties>
</file>